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75_上下水道局\10_経営課\課内\12_料金改定\2026\02_周知・広報対応\04_HP\03_料金表公開（251219）\"/>
    </mc:Choice>
  </mc:AlternateContent>
  <xr:revisionPtr revIDLastSave="0" documentId="13_ncr:101_{98E13025-4BCD-4617-86E0-65FBB4A543D0}" xr6:coauthVersionLast="47" xr6:coauthVersionMax="47" xr10:uidLastSave="{00000000-0000-0000-0000-000000000000}"/>
  <bookViews>
    <workbookView xWindow="-100" yWindow="-100" windowWidth="21467" windowHeight="11443" firstSheet="1" activeTab="1" xr2:uid="{00000000-000D-0000-FFFF-FFFF00000000}"/>
  </bookViews>
  <sheets>
    <sheet name="料金表" sheetId="1" state="hidden" r:id="rId1"/>
    <sheet name="計算ツール" sheetId="2" r:id="rId2"/>
    <sheet name="計算ツールの使い方" sheetId="3" r:id="rId3"/>
  </sheets>
  <definedNames>
    <definedName name="_xlnm.Print_Area" localSheetId="1">計算ツール!$A$1:$AQ$29</definedName>
    <definedName name="_xlnm.Print_Area" localSheetId="2">計算ツールの使い方!$A$1:$AQ$29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3" l="1"/>
  <c r="R19" i="3"/>
  <c r="AT18" i="3"/>
  <c r="AT19" i="3" s="1"/>
  <c r="R13" i="3"/>
  <c r="R12" i="3"/>
  <c r="E12" i="3"/>
  <c r="E11" i="3"/>
  <c r="AI22" i="3" s="1"/>
  <c r="AG10" i="3"/>
  <c r="AF10" i="3"/>
  <c r="AG9" i="3"/>
  <c r="AF9" i="3"/>
  <c r="AG8" i="3"/>
  <c r="AF8" i="3"/>
  <c r="R8" i="3"/>
  <c r="AG7" i="3"/>
  <c r="AF7" i="3"/>
  <c r="R7" i="3"/>
  <c r="AG6" i="3"/>
  <c r="AF6" i="3"/>
  <c r="AF18" i="3" l="1"/>
  <c r="AT20" i="3"/>
  <c r="AF20" i="3" s="1"/>
  <c r="AF19" i="3"/>
  <c r="R9" i="3"/>
  <c r="R14" i="3"/>
  <c r="AM22" i="3"/>
  <c r="AI19" i="3"/>
  <c r="AI6" i="3"/>
  <c r="AM7" i="3"/>
  <c r="AI10" i="3"/>
  <c r="AM19" i="3"/>
  <c r="AM18" i="3"/>
  <c r="AM6" i="3"/>
  <c r="AM10" i="3"/>
  <c r="AI18" i="3"/>
  <c r="AI20" i="3"/>
  <c r="R22" i="2"/>
  <c r="R19" i="2"/>
  <c r="R7" i="2"/>
  <c r="AT18" i="2"/>
  <c r="AT19" i="2" s="1"/>
  <c r="E11" i="2"/>
  <c r="R13" i="2"/>
  <c r="R12" i="2"/>
  <c r="AG10" i="2"/>
  <c r="AG9" i="2"/>
  <c r="AG8" i="2"/>
  <c r="AG7" i="2"/>
  <c r="AF10" i="2"/>
  <c r="AF9" i="2"/>
  <c r="AF8" i="2"/>
  <c r="AF7" i="2"/>
  <c r="R8" i="2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T21" i="3" l="1"/>
  <c r="AT22" i="3" s="1"/>
  <c r="AF22" i="3" s="1"/>
  <c r="AJ22" i="3" s="1"/>
  <c r="AJ19" i="3"/>
  <c r="AN19" i="3"/>
  <c r="AJ20" i="3"/>
  <c r="AO7" i="3"/>
  <c r="AN7" i="3"/>
  <c r="AI21" i="3"/>
  <c r="AK6" i="3"/>
  <c r="AJ6" i="3"/>
  <c r="AI7" i="3"/>
  <c r="AN6" i="3"/>
  <c r="AO6" i="3"/>
  <c r="AN18" i="3"/>
  <c r="AM8" i="3"/>
  <c r="AJ18" i="3"/>
  <c r="AI23" i="3"/>
  <c r="AK10" i="3"/>
  <c r="AJ10" i="3"/>
  <c r="AM20" i="3"/>
  <c r="AN20" i="3" s="1"/>
  <c r="AN10" i="3"/>
  <c r="AO10" i="3"/>
  <c r="AI7" i="2"/>
  <c r="AJ7" i="2" s="1"/>
  <c r="AF18" i="2"/>
  <c r="AT20" i="2"/>
  <c r="AF19" i="2"/>
  <c r="AI6" i="2"/>
  <c r="E12" i="2"/>
  <c r="AI18" i="2"/>
  <c r="R14" i="2"/>
  <c r="AF6" i="2"/>
  <c r="AG6" i="2"/>
  <c r="R9" i="2"/>
  <c r="AK7" i="2" l="1"/>
  <c r="AF21" i="3"/>
  <c r="AJ21" i="3" s="1"/>
  <c r="AJ23" i="3" s="1"/>
  <c r="T19" i="3" s="1"/>
  <c r="V19" i="3" s="1"/>
  <c r="Z19" i="3" s="1"/>
  <c r="AO8" i="3"/>
  <c r="AN8" i="3"/>
  <c r="AM23" i="3"/>
  <c r="AM9" i="3"/>
  <c r="AM11" i="3" s="1"/>
  <c r="AM21" i="3"/>
  <c r="AN22" i="3"/>
  <c r="AK7" i="3"/>
  <c r="AJ7" i="3"/>
  <c r="AI8" i="3"/>
  <c r="AI8" i="2"/>
  <c r="AK8" i="2" s="1"/>
  <c r="AT21" i="2"/>
  <c r="AF20" i="2"/>
  <c r="AI19" i="2"/>
  <c r="AJ18" i="2"/>
  <c r="AJ6" i="2"/>
  <c r="AK6" i="2"/>
  <c r="AM6" i="2"/>
  <c r="AM7" i="2" s="1"/>
  <c r="AM18" i="2"/>
  <c r="AM19" i="2" s="1"/>
  <c r="AI9" i="2"/>
  <c r="AN21" i="3" l="1"/>
  <c r="AN23" i="3" s="1"/>
  <c r="T22" i="3" s="1"/>
  <c r="V22" i="3" s="1"/>
  <c r="Z22" i="3" s="1"/>
  <c r="N19" i="3" s="1"/>
  <c r="AJ8" i="3"/>
  <c r="AK8" i="3"/>
  <c r="AI9" i="3"/>
  <c r="AI11" i="3"/>
  <c r="AN9" i="3"/>
  <c r="AN11" i="3" s="1"/>
  <c r="T12" i="3" s="1"/>
  <c r="V12" i="3" s="1"/>
  <c r="Z12" i="3" s="1"/>
  <c r="AO9" i="3"/>
  <c r="AO11" i="3" s="1"/>
  <c r="T13" i="3" s="1"/>
  <c r="AM8" i="2"/>
  <c r="AM9" i="2" s="1"/>
  <c r="AO9" i="2" s="1"/>
  <c r="AJ8" i="2"/>
  <c r="AM20" i="2"/>
  <c r="AN20" i="2" s="1"/>
  <c r="AT22" i="2"/>
  <c r="AF22" i="2" s="1"/>
  <c r="AF21" i="2"/>
  <c r="AO7" i="2"/>
  <c r="AN7" i="2"/>
  <c r="AM10" i="2"/>
  <c r="AN9" i="2"/>
  <c r="AM22" i="2"/>
  <c r="AN18" i="2"/>
  <c r="AK9" i="2"/>
  <c r="AJ9" i="2"/>
  <c r="AN19" i="2"/>
  <c r="AI20" i="2"/>
  <c r="AJ19" i="2"/>
  <c r="AO6" i="2"/>
  <c r="AN6" i="2"/>
  <c r="AI10" i="2"/>
  <c r="AO8" i="2" l="1"/>
  <c r="AM21" i="2"/>
  <c r="AN21" i="2" s="1"/>
  <c r="T14" i="3"/>
  <c r="V13" i="3"/>
  <c r="AK9" i="3"/>
  <c r="AK11" i="3" s="1"/>
  <c r="T8" i="3" s="1"/>
  <c r="AJ9" i="3"/>
  <c r="AJ11" i="3" s="1"/>
  <c r="T7" i="3" s="1"/>
  <c r="V7" i="3" s="1"/>
  <c r="Z7" i="3" s="1"/>
  <c r="N7" i="3" s="1"/>
  <c r="J6" i="3" s="1"/>
  <c r="AN8" i="2"/>
  <c r="AI21" i="2"/>
  <c r="AO10" i="2"/>
  <c r="AO11" i="2" s="1"/>
  <c r="T13" i="2" s="1"/>
  <c r="AN10" i="2"/>
  <c r="AM11" i="2"/>
  <c r="AK10" i="2"/>
  <c r="AK11" i="2" s="1"/>
  <c r="T8" i="2" s="1"/>
  <c r="AJ10" i="2"/>
  <c r="AJ11" i="2" s="1"/>
  <c r="T7" i="2" s="1"/>
  <c r="V7" i="2" s="1"/>
  <c r="Z7" i="2" s="1"/>
  <c r="AJ20" i="2"/>
  <c r="AN22" i="2"/>
  <c r="AM23" i="2" l="1"/>
  <c r="AN23" i="2"/>
  <c r="T22" i="2" s="1"/>
  <c r="V22" i="2" s="1"/>
  <c r="Z22" i="2" s="1"/>
  <c r="T9" i="3"/>
  <c r="V8" i="3"/>
  <c r="Z13" i="3"/>
  <c r="Z14" i="3" s="1"/>
  <c r="V14" i="3"/>
  <c r="AN11" i="2"/>
  <c r="T12" i="2" s="1"/>
  <c r="V12" i="2" s="1"/>
  <c r="Z12" i="2" s="1"/>
  <c r="N7" i="2" s="1"/>
  <c r="AI22" i="2"/>
  <c r="AJ22" i="2" s="1"/>
  <c r="AJ21" i="2"/>
  <c r="T9" i="2"/>
  <c r="V8" i="2"/>
  <c r="Z8" i="2" s="1"/>
  <c r="V13" i="2"/>
  <c r="Z13" i="2" s="1"/>
  <c r="T14" i="2" l="1"/>
  <c r="V9" i="3"/>
  <c r="Z8" i="3"/>
  <c r="AJ23" i="2"/>
  <c r="T19" i="2" s="1"/>
  <c r="V19" i="2" s="1"/>
  <c r="Z19" i="2" s="1"/>
  <c r="N19" i="2" s="1"/>
  <c r="J6" i="2" s="1"/>
  <c r="AI23" i="2"/>
  <c r="V14" i="2"/>
  <c r="Z14" i="2"/>
  <c r="V9" i="2"/>
  <c r="N8" i="3" l="1"/>
  <c r="Z9" i="3"/>
  <c r="Z9" i="2"/>
  <c r="N8" i="2"/>
  <c r="J7" i="2" s="1"/>
  <c r="J8" i="2" s="1"/>
  <c r="N9" i="3" l="1"/>
  <c r="J7" i="3"/>
  <c r="J8" i="3" s="1"/>
  <c r="N9" i="2"/>
  <c r="AI11" i="2" l="1"/>
</calcChain>
</file>

<file path=xl/sharedStrings.xml><?xml version="1.0" encoding="utf-8"?>
<sst xmlns="http://schemas.openxmlformats.org/spreadsheetml/2006/main" count="463" uniqueCount="69">
  <si>
    <t>基本料金</t>
    <rPh sb="0" eb="4">
      <t>キホンリョウキン</t>
    </rPh>
    <phoneticPr fontId="2"/>
  </si>
  <si>
    <t>水量料金</t>
    <rPh sb="0" eb="4">
      <t>スイリョウリョウキン</t>
    </rPh>
    <phoneticPr fontId="1"/>
  </si>
  <si>
    <t>口径</t>
    <rPh sb="0" eb="2">
      <t>コウケイ</t>
    </rPh>
    <phoneticPr fontId="2"/>
  </si>
  <si>
    <t>区分</t>
    <rPh sb="0" eb="2">
      <t>クブン</t>
    </rPh>
    <phoneticPr fontId="1"/>
  </si>
  <si>
    <t>区分下限</t>
    <rPh sb="0" eb="2">
      <t>クブン</t>
    </rPh>
    <rPh sb="2" eb="4">
      <t>カゲン</t>
    </rPh>
    <phoneticPr fontId="1"/>
  </si>
  <si>
    <t>区分上限</t>
    <rPh sb="0" eb="4">
      <t>クブンジョウゲン</t>
    </rPh>
    <phoneticPr fontId="1"/>
  </si>
  <si>
    <t>税抜</t>
  </si>
  <si>
    <t>現行</t>
    <rPh sb="0" eb="2">
      <t>ゲンコウ</t>
    </rPh>
    <phoneticPr fontId="2"/>
  </si>
  <si>
    <t>改定後</t>
    <phoneticPr fontId="2"/>
  </si>
  <si>
    <t>水道</t>
    <rPh sb="0" eb="2">
      <t>スイドウ</t>
    </rPh>
    <phoneticPr fontId="2"/>
  </si>
  <si>
    <t>基本属性</t>
    <rPh sb="0" eb="2">
      <t>キホン</t>
    </rPh>
    <rPh sb="2" eb="4">
      <t>ゾクセイ</t>
    </rPh>
    <phoneticPr fontId="2"/>
  </si>
  <si>
    <t>量属性</t>
    <rPh sb="0" eb="1">
      <t>リョウ</t>
    </rPh>
    <rPh sb="1" eb="3">
      <t>ゾクセイ</t>
    </rPh>
    <phoneticPr fontId="2"/>
  </si>
  <si>
    <t>下水道</t>
    <rPh sb="0" eb="3">
      <t>ゲスイドウ</t>
    </rPh>
    <phoneticPr fontId="2"/>
  </si>
  <si>
    <t>基本使用料</t>
    <rPh sb="0" eb="5">
      <t>キホンシヨウリョウ</t>
    </rPh>
    <phoneticPr fontId="2"/>
  </si>
  <si>
    <t>差額</t>
    <rPh sb="0" eb="2">
      <t>サガク</t>
    </rPh>
    <phoneticPr fontId="2"/>
  </si>
  <si>
    <t>1月/1㎥</t>
    <rPh sb="1" eb="2">
      <t>ツキ</t>
    </rPh>
    <phoneticPr fontId="2"/>
  </si>
  <si>
    <t>公共下水道</t>
  </si>
  <si>
    <t>公共下水道</t>
    <rPh sb="0" eb="5">
      <t>コウキョウゲスイドウ</t>
    </rPh>
    <phoneticPr fontId="2"/>
  </si>
  <si>
    <t>地域下水道</t>
    <rPh sb="0" eb="5">
      <t>チイキゲスイドウ</t>
    </rPh>
    <phoneticPr fontId="2"/>
  </si>
  <si>
    <t>従量使用料</t>
    <rPh sb="0" eb="2">
      <t>ジュウリョウ</t>
    </rPh>
    <rPh sb="2" eb="5">
      <t>シヨウリョウ</t>
    </rPh>
    <phoneticPr fontId="2"/>
  </si>
  <si>
    <t>分類1</t>
    <rPh sb="0" eb="2">
      <t>ブンルイ</t>
    </rPh>
    <phoneticPr fontId="2"/>
  </si>
  <si>
    <t>分類2</t>
    <rPh sb="0" eb="2">
      <t>ブンルイ</t>
    </rPh>
    <phoneticPr fontId="2"/>
  </si>
  <si>
    <t>分類3</t>
    <rPh sb="0" eb="2">
      <t>ブンルイ</t>
    </rPh>
    <phoneticPr fontId="2"/>
  </si>
  <si>
    <t>水量料金</t>
    <rPh sb="0" eb="4">
      <t>スイリョウリョウキン</t>
    </rPh>
    <phoneticPr fontId="2"/>
  </si>
  <si>
    <t>使用水量</t>
    <rPh sb="0" eb="4">
      <t>シヨウスイリョウ</t>
    </rPh>
    <phoneticPr fontId="2"/>
  </si>
  <si>
    <t>1～10㎥</t>
    <phoneticPr fontId="2"/>
  </si>
  <si>
    <t>11～20㎥</t>
    <phoneticPr fontId="2"/>
  </si>
  <si>
    <t>21～50㎥</t>
    <phoneticPr fontId="2"/>
  </si>
  <si>
    <t>51～100㎥</t>
    <phoneticPr fontId="2"/>
  </si>
  <si>
    <t>101㎥～</t>
    <phoneticPr fontId="2"/>
  </si>
  <si>
    <t>合計</t>
    <rPh sb="0" eb="2">
      <t>ゴウケイ</t>
    </rPh>
    <phoneticPr fontId="2"/>
  </si>
  <si>
    <t>区分</t>
    <rPh sb="0" eb="2">
      <t>クブン</t>
    </rPh>
    <phoneticPr fontId="2"/>
  </si>
  <si>
    <t>水量区分</t>
    <rPh sb="0" eb="2">
      <t>スイリョウ</t>
    </rPh>
    <rPh sb="2" eb="4">
      <t>クブン</t>
    </rPh>
    <phoneticPr fontId="2"/>
  </si>
  <si>
    <t>改定後</t>
    <rPh sb="0" eb="3">
      <t>カイテイゴ</t>
    </rPh>
    <phoneticPr fontId="2"/>
  </si>
  <si>
    <t>+</t>
    <phoneticPr fontId="2"/>
  </si>
  <si>
    <t>=</t>
    <phoneticPr fontId="2"/>
  </si>
  <si>
    <t>×1.1</t>
    <phoneticPr fontId="2"/>
  </si>
  <si>
    <t>お使いの下水道</t>
    <rPh sb="1" eb="2">
      <t>ツカ</t>
    </rPh>
    <rPh sb="4" eb="7">
      <t>ゲスイドウ</t>
    </rPh>
    <phoneticPr fontId="2"/>
  </si>
  <si>
    <t>排出水量</t>
    <rPh sb="0" eb="2">
      <t>ハイシュツ</t>
    </rPh>
    <rPh sb="2" eb="4">
      <t>スイリョウ</t>
    </rPh>
    <phoneticPr fontId="2"/>
  </si>
  <si>
    <t>1月目</t>
    <rPh sb="1" eb="3">
      <t>ツキメ</t>
    </rPh>
    <phoneticPr fontId="2"/>
  </si>
  <si>
    <t>2月目</t>
    <rPh sb="1" eb="3">
      <t>ツキメ</t>
    </rPh>
    <phoneticPr fontId="2"/>
  </si>
  <si>
    <t>お使いの口径</t>
    <phoneticPr fontId="2"/>
  </si>
  <si>
    <t>使用水量</t>
    <phoneticPr fontId="2"/>
  </si>
  <si>
    <t>2月分</t>
    <rPh sb="1" eb="3">
      <t>ツキブン</t>
    </rPh>
    <phoneticPr fontId="2"/>
  </si>
  <si>
    <t>1月目分</t>
    <rPh sb="1" eb="3">
      <t>ツキメ</t>
    </rPh>
    <rPh sb="3" eb="4">
      <t>ブン</t>
    </rPh>
    <phoneticPr fontId="2"/>
  </si>
  <si>
    <t>2月目分</t>
    <rPh sb="1" eb="3">
      <t>ツキメ</t>
    </rPh>
    <rPh sb="3" eb="4">
      <t>ブン</t>
    </rPh>
    <phoneticPr fontId="2"/>
  </si>
  <si>
    <t>-</t>
    <phoneticPr fontId="2"/>
  </si>
  <si>
    <t>会計</t>
    <rPh sb="0" eb="2">
      <t>カイケイ</t>
    </rPh>
    <phoneticPr fontId="2"/>
  </si>
  <si>
    <t>上下水道合計金額</t>
    <rPh sb="4" eb="8">
      <t>ゴウケイキンガク</t>
    </rPh>
    <phoneticPr fontId="2"/>
  </si>
  <si>
    <t>お客様情報</t>
    <rPh sb="1" eb="3">
      <t>キャクサマ</t>
    </rPh>
    <rPh sb="3" eb="5">
      <t>ジョウホウ</t>
    </rPh>
    <phoneticPr fontId="2"/>
  </si>
  <si>
    <t>消費税</t>
    <rPh sb="0" eb="3">
      <t>ショウヒゼイ</t>
    </rPh>
    <phoneticPr fontId="2"/>
  </si>
  <si>
    <t>水道料金(税抜)</t>
    <rPh sb="5" eb="7">
      <t>ゼイヌ</t>
    </rPh>
    <phoneticPr fontId="2"/>
  </si>
  <si>
    <t>水道料金(税込)</t>
    <phoneticPr fontId="2"/>
  </si>
  <si>
    <t>×</t>
  </si>
  <si>
    <t>×</t>
    <phoneticPr fontId="2"/>
  </si>
  <si>
    <t>下水道使用料(税抜)</t>
    <rPh sb="0" eb="3">
      <t>ゲスイドウ</t>
    </rPh>
    <rPh sb="3" eb="6">
      <t>シヨウリョウ</t>
    </rPh>
    <rPh sb="7" eb="9">
      <t>ゼイヌ</t>
    </rPh>
    <phoneticPr fontId="2"/>
  </si>
  <si>
    <t>下水道使用料(税込)</t>
    <rPh sb="0" eb="3">
      <t>ゲスイドウ</t>
    </rPh>
    <rPh sb="3" eb="6">
      <t>シヨウリョウ</t>
    </rPh>
    <phoneticPr fontId="2"/>
  </si>
  <si>
    <t>※下水道は改定なし</t>
    <rPh sb="1" eb="4">
      <t>ゲスイドウ</t>
    </rPh>
    <rPh sb="5" eb="7">
      <t>カイテイ</t>
    </rPh>
    <phoneticPr fontId="2"/>
  </si>
  <si>
    <t>2か月分(税込)</t>
    <rPh sb="5" eb="7">
      <t>ゼイコ</t>
    </rPh>
    <phoneticPr fontId="2"/>
  </si>
  <si>
    <t>2か月料金(税込)</t>
    <rPh sb="2" eb="5">
      <t>ゲツリョウキン</t>
    </rPh>
    <rPh sb="6" eb="8">
      <t>ゼイコ</t>
    </rPh>
    <phoneticPr fontId="2"/>
  </si>
  <si>
    <t>2か月使用料(税込)</t>
    <rPh sb="3" eb="6">
      <t>シヨウリョウ</t>
    </rPh>
    <rPh sb="7" eb="9">
      <t>ゼイコ</t>
    </rPh>
    <phoneticPr fontId="2"/>
  </si>
  <si>
    <t>豊橋市上下水道局</t>
    <rPh sb="0" eb="3">
      <t>トヨハシシ</t>
    </rPh>
    <rPh sb="3" eb="8">
      <t>ジョウゲスイドウキョク</t>
    </rPh>
    <phoneticPr fontId="2"/>
  </si>
  <si>
    <t>料金単価</t>
    <rPh sb="0" eb="2">
      <t>リョウキン</t>
    </rPh>
    <rPh sb="2" eb="4">
      <t>タンカ</t>
    </rPh>
    <phoneticPr fontId="2"/>
  </si>
  <si>
    <t>水量に応じた料金・使用料の内訳</t>
    <rPh sb="0" eb="2">
      <t>スイリョウ</t>
    </rPh>
    <rPh sb="3" eb="4">
      <t>オウ</t>
    </rPh>
    <rPh sb="6" eb="8">
      <t>リョウキン</t>
    </rPh>
    <rPh sb="9" eb="12">
      <t>シヨウリョウ</t>
    </rPh>
    <rPh sb="13" eb="15">
      <t>ウチワケ</t>
    </rPh>
    <phoneticPr fontId="2"/>
  </si>
  <si>
    <t>新旧料金比較ツール（令和８年４月改定）</t>
    <rPh sb="0" eb="2">
      <t>シンキュウ</t>
    </rPh>
    <rPh sb="2" eb="4">
      <t>リョウキン</t>
    </rPh>
    <rPh sb="4" eb="6">
      <t>ヒカク</t>
    </rPh>
    <rPh sb="10" eb="12">
      <t>レイワ</t>
    </rPh>
    <rPh sb="13" eb="14">
      <t>ネン</t>
    </rPh>
    <rPh sb="15" eb="16">
      <t>ガツ</t>
    </rPh>
    <rPh sb="16" eb="18">
      <t>カイテイ</t>
    </rPh>
    <phoneticPr fontId="2"/>
  </si>
  <si>
    <r>
      <t>水量料金</t>
    </r>
    <r>
      <rPr>
        <b/>
        <sz val="9"/>
        <color theme="1"/>
        <rFont val="游ゴシック"/>
        <family val="3"/>
        <charset val="128"/>
        <scheme val="minor"/>
      </rPr>
      <t>（1月目）</t>
    </r>
    <rPh sb="0" eb="4">
      <t>スイリョウリョウキン</t>
    </rPh>
    <rPh sb="6" eb="8">
      <t>ツキメ</t>
    </rPh>
    <phoneticPr fontId="2"/>
  </si>
  <si>
    <r>
      <t>水量料金</t>
    </r>
    <r>
      <rPr>
        <b/>
        <sz val="9"/>
        <color theme="1"/>
        <rFont val="游ゴシック"/>
        <family val="3"/>
        <charset val="128"/>
        <scheme val="minor"/>
      </rPr>
      <t>（2月目）</t>
    </r>
    <rPh sb="0" eb="4">
      <t>スイリョウリョウキン</t>
    </rPh>
    <rPh sb="6" eb="8">
      <t>ツキメ</t>
    </rPh>
    <phoneticPr fontId="2"/>
  </si>
  <si>
    <r>
      <t>従量使用料</t>
    </r>
    <r>
      <rPr>
        <b/>
        <sz val="9"/>
        <color theme="1"/>
        <rFont val="游ゴシック"/>
        <family val="3"/>
        <charset val="128"/>
        <scheme val="minor"/>
      </rPr>
      <t>（1月目）</t>
    </r>
    <rPh sb="0" eb="2">
      <t>ジュウリョウ</t>
    </rPh>
    <rPh sb="2" eb="5">
      <t>シヨウリョウ</t>
    </rPh>
    <rPh sb="7" eb="9">
      <t>ツキメ</t>
    </rPh>
    <phoneticPr fontId="2"/>
  </si>
  <si>
    <r>
      <t>従量使用料</t>
    </r>
    <r>
      <rPr>
        <b/>
        <sz val="9"/>
        <color theme="1"/>
        <rFont val="游ゴシック"/>
        <family val="3"/>
        <charset val="128"/>
        <scheme val="minor"/>
      </rPr>
      <t>（2月目）</t>
    </r>
    <rPh sb="0" eb="2">
      <t>ジュウリョウ</t>
    </rPh>
    <rPh sb="2" eb="5">
      <t>シヨウリョウ</t>
    </rPh>
    <rPh sb="7" eb="9">
      <t>ツキメ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</si>
</sst>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ｍｍ&quot;"/>
    <numFmt numFmtId="177" formatCode="#,##0&quot;㎥&quot;"/>
    <numFmt numFmtId="178" formatCode="#,##0&quot;円&quot;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0070C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thick">
        <color theme="4" tint="-0.24994659260841701"/>
      </bottom>
      <diagonal/>
    </border>
    <border>
      <left style="thick">
        <color theme="4" tint="0.39994506668294322"/>
      </left>
      <right/>
      <top/>
      <bottom/>
      <diagonal/>
    </border>
    <border>
      <left/>
      <right/>
      <top/>
      <bottom style="thick">
        <color theme="4" tint="0.39994506668294322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6795556505021"/>
      </left>
      <right/>
      <top style="thin">
        <color theme="0" tint="-0.14993743705557422"/>
      </top>
      <bottom style="medium">
        <color theme="0" tint="-0.14996795556505021"/>
      </bottom>
      <diagonal/>
    </border>
    <border>
      <left style="thick">
        <color theme="0" tint="-0.14990691854609822"/>
      </left>
      <right style="medium">
        <color theme="0" tint="-0.14996795556505021"/>
      </right>
      <top/>
      <bottom/>
      <diagonal/>
    </border>
    <border>
      <left style="thick">
        <color theme="0" tint="-0.14990691854609822"/>
      </left>
      <right style="medium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ck">
        <color theme="0" tint="-0.14990691854609822"/>
      </left>
      <right style="medium">
        <color theme="0" tint="-0.14996795556505021"/>
      </right>
      <top style="thin">
        <color theme="0" tint="-0.14993743705557422"/>
      </top>
      <bottom style="medium">
        <color theme="0" tint="-0.1499679555650502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/>
      <top style="dotted">
        <color auto="1"/>
      </top>
      <bottom style="thick">
        <color theme="4" tint="0.59996337778862885"/>
      </bottom>
      <diagonal/>
    </border>
    <border>
      <left/>
      <right/>
      <top style="dotted">
        <color theme="1"/>
      </top>
      <bottom/>
      <diagonal/>
    </border>
    <border>
      <left/>
      <right/>
      <top style="dotted">
        <color theme="1"/>
      </top>
      <bottom style="hair">
        <color theme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theme="1"/>
      </top>
      <bottom style="hair">
        <color theme="1"/>
      </bottom>
      <diagonal/>
    </border>
    <border>
      <left style="dotted">
        <color auto="1"/>
      </left>
      <right/>
      <top style="hair">
        <color theme="1"/>
      </top>
      <bottom style="hair">
        <color theme="1"/>
      </bottom>
      <diagonal/>
    </border>
    <border>
      <left style="dotted">
        <color auto="1"/>
      </left>
      <right/>
      <top style="hair">
        <color theme="1"/>
      </top>
      <bottom/>
      <diagonal/>
    </border>
    <border>
      <left/>
      <right/>
      <top/>
      <bottom style="dotted">
        <color theme="1"/>
      </bottom>
      <diagonal/>
    </border>
    <border>
      <left/>
      <right/>
      <top style="thin">
        <color theme="0" tint="-4.9989318521683403E-2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/>
    <xf numFmtId="4" fontId="4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right" vertical="center"/>
    </xf>
    <xf numFmtId="38" fontId="4" fillId="0" borderId="0" xfId="0" applyNumberFormat="1" applyFont="1"/>
    <xf numFmtId="176" fontId="4" fillId="0" borderId="0" xfId="0" applyNumberFormat="1" applyFont="1"/>
    <xf numFmtId="177" fontId="4" fillId="0" borderId="0" xfId="0" applyNumberFormat="1" applyFont="1" applyAlignment="1">
      <alignment horizontal="right" vertical="center"/>
    </xf>
    <xf numFmtId="177" fontId="4" fillId="0" borderId="0" xfId="0" applyNumberFormat="1" applyFont="1"/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78" fontId="4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4" borderId="0" xfId="0" applyFont="1" applyFill="1" applyBorder="1" applyAlignment="1">
      <alignment vertical="center"/>
    </xf>
    <xf numFmtId="176" fontId="4" fillId="4" borderId="0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176" fontId="4" fillId="5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176" fontId="4" fillId="3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178" fontId="4" fillId="3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176" fontId="4" fillId="5" borderId="5" xfId="0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Continuous" vertical="center"/>
    </xf>
    <xf numFmtId="178" fontId="4" fillId="4" borderId="0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centerContinuous" vertical="center"/>
    </xf>
    <xf numFmtId="178" fontId="6" fillId="4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178" fontId="6" fillId="2" borderId="0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centerContinuous" vertical="center"/>
    </xf>
    <xf numFmtId="0" fontId="6" fillId="5" borderId="0" xfId="0" applyFont="1" applyFill="1" applyBorder="1" applyAlignment="1">
      <alignment horizontal="centerContinuous" vertical="center"/>
    </xf>
    <xf numFmtId="178" fontId="6" fillId="5" borderId="0" xfId="0" applyNumberFormat="1" applyFont="1" applyFill="1" applyBorder="1" applyAlignment="1">
      <alignment vertical="center"/>
    </xf>
    <xf numFmtId="0" fontId="8" fillId="5" borderId="5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177" fontId="4" fillId="4" borderId="0" xfId="0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centerContinuous" vertical="center"/>
    </xf>
    <xf numFmtId="178" fontId="4" fillId="3" borderId="0" xfId="0" applyNumberFormat="1" applyFont="1" applyFill="1" applyBorder="1" applyAlignment="1">
      <alignment horizontal="right" vertical="center"/>
    </xf>
    <xf numFmtId="178" fontId="6" fillId="2" borderId="7" xfId="0" applyNumberFormat="1" applyFont="1" applyFill="1" applyBorder="1" applyAlignment="1">
      <alignment vertical="center"/>
    </xf>
    <xf numFmtId="178" fontId="6" fillId="2" borderId="0" xfId="0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38" fontId="4" fillId="4" borderId="0" xfId="0" applyNumberFormat="1" applyFont="1" applyFill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178" fontId="4" fillId="0" borderId="9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78" fontId="4" fillId="0" borderId="10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8" fontId="4" fillId="3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178" fontId="4" fillId="5" borderId="0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178" fontId="4" fillId="3" borderId="9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indent="1"/>
    </xf>
    <xf numFmtId="0" fontId="4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176" fontId="4" fillId="6" borderId="0" xfId="0" applyNumberFormat="1" applyFont="1" applyFill="1" applyBorder="1" applyAlignment="1">
      <alignment vertical="center"/>
    </xf>
    <xf numFmtId="177" fontId="4" fillId="6" borderId="0" xfId="0" applyNumberFormat="1" applyFont="1" applyFill="1" applyBorder="1" applyAlignment="1">
      <alignment horizontal="right" vertical="center"/>
    </xf>
    <xf numFmtId="0" fontId="4" fillId="8" borderId="11" xfId="0" applyFont="1" applyFill="1" applyBorder="1" applyAlignment="1">
      <alignment horizontal="centerContinuous" vertical="center"/>
    </xf>
    <xf numFmtId="0" fontId="4" fillId="8" borderId="12" xfId="0" applyFont="1" applyFill="1" applyBorder="1" applyAlignment="1">
      <alignment horizontal="centerContinuous" vertical="center"/>
    </xf>
    <xf numFmtId="0" fontId="4" fillId="0" borderId="15" xfId="0" applyFont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177" fontId="4" fillId="7" borderId="19" xfId="0" applyNumberFormat="1" applyFont="1" applyFill="1" applyBorder="1" applyAlignment="1">
      <alignment horizontal="right" vertical="center"/>
    </xf>
    <xf numFmtId="177" fontId="4" fillId="7" borderId="2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Continuous" vertical="center"/>
    </xf>
    <xf numFmtId="0" fontId="4" fillId="3" borderId="10" xfId="0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8" fontId="4" fillId="0" borderId="21" xfId="0" applyNumberFormat="1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78" fontId="4" fillId="0" borderId="22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0" fontId="8" fillId="5" borderId="5" xfId="0" applyFont="1" applyFill="1" applyBorder="1" applyAlignment="1">
      <alignment horizontal="left" vertical="center"/>
    </xf>
    <xf numFmtId="177" fontId="4" fillId="2" borderId="0" xfId="0" applyNumberFormat="1" applyFont="1" applyFill="1" applyAlignment="1">
      <alignment vertical="center"/>
    </xf>
    <xf numFmtId="178" fontId="4" fillId="2" borderId="0" xfId="0" applyNumberFormat="1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178" fontId="4" fillId="2" borderId="0" xfId="0" applyNumberFormat="1" applyFont="1" applyFill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178" fontId="4" fillId="0" borderId="23" xfId="0" applyNumberFormat="1" applyFont="1" applyBorder="1" applyAlignment="1">
      <alignment vertical="center"/>
    </xf>
    <xf numFmtId="177" fontId="4" fillId="0" borderId="23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178" fontId="4" fillId="5" borderId="6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9" borderId="18" xfId="0" applyNumberFormat="1" applyFont="1" applyFill="1" applyBorder="1" applyAlignment="1" applyProtection="1">
      <alignment horizontal="right" vertical="center"/>
      <protection locked="0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178" fontId="4" fillId="0" borderId="22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178" fontId="4" fillId="0" borderId="23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78" fontId="4" fillId="0" borderId="26" xfId="0" applyNumberFormat="1" applyFont="1" applyFill="1" applyBorder="1" applyAlignment="1">
      <alignment vertical="center"/>
    </xf>
    <xf numFmtId="178" fontId="4" fillId="3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78" fontId="4" fillId="0" borderId="28" xfId="0" applyNumberFormat="1" applyFont="1" applyFill="1" applyBorder="1" applyAlignment="1">
      <alignment vertical="center"/>
    </xf>
    <xf numFmtId="178" fontId="4" fillId="0" borderId="29" xfId="0" applyNumberFormat="1" applyFont="1" applyFill="1" applyBorder="1" applyAlignment="1">
      <alignment vertical="center"/>
    </xf>
    <xf numFmtId="178" fontId="4" fillId="0" borderId="30" xfId="0" applyNumberFormat="1" applyFont="1" applyFill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178" fontId="4" fillId="0" borderId="25" xfId="0" applyNumberFormat="1" applyFont="1" applyBorder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178" fontId="4" fillId="3" borderId="25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178" fontId="8" fillId="4" borderId="32" xfId="0" applyNumberFormat="1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178" fontId="8" fillId="4" borderId="33" xfId="0" applyNumberFormat="1" applyFont="1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178" fontId="8" fillId="4" borderId="34" xfId="0" applyNumberFormat="1" applyFont="1" applyFill="1" applyBorder="1" applyAlignment="1">
      <alignment vertical="center"/>
    </xf>
    <xf numFmtId="178" fontId="6" fillId="5" borderId="32" xfId="0" applyNumberFormat="1" applyFont="1" applyFill="1" applyBorder="1" applyAlignment="1">
      <alignment vertical="center"/>
    </xf>
    <xf numFmtId="178" fontId="6" fillId="5" borderId="33" xfId="0" applyNumberFormat="1" applyFont="1" applyFill="1" applyBorder="1" applyAlignment="1">
      <alignment vertical="center"/>
    </xf>
    <xf numFmtId="178" fontId="6" fillId="5" borderId="34" xfId="0" applyNumberFormat="1" applyFont="1" applyFill="1" applyBorder="1" applyAlignment="1">
      <alignment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177" fontId="4" fillId="9" borderId="18" xfId="0" applyNumberFormat="1" applyFont="1" applyFill="1" applyBorder="1" applyAlignment="1" applyProtection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9" borderId="13" xfId="0" applyFont="1" applyFill="1" applyBorder="1" applyAlignment="1" applyProtection="1">
      <alignment horizontal="center" vertical="center"/>
      <protection locked="0"/>
    </xf>
    <xf numFmtId="0" fontId="0" fillId="9" borderId="14" xfId="0" applyFill="1" applyBorder="1" applyAlignment="1" applyProtection="1">
      <alignment horizontal="center" vertical="center"/>
      <protection locked="0"/>
    </xf>
    <xf numFmtId="176" fontId="4" fillId="9" borderId="13" xfId="0" applyNumberFormat="1" applyFont="1" applyFill="1" applyBorder="1" applyAlignment="1" applyProtection="1">
      <alignment horizontal="center" vertical="center"/>
      <protection locked="0"/>
    </xf>
    <xf numFmtId="176" fontId="0" fillId="9" borderId="14" xfId="0" applyNumberFormat="1" applyFill="1" applyBorder="1" applyAlignment="1" applyProtection="1">
      <alignment horizontal="center" vertical="center"/>
      <protection locked="0"/>
    </xf>
    <xf numFmtId="176" fontId="4" fillId="9" borderId="13" xfId="0" applyNumberFormat="1" applyFont="1" applyFill="1" applyBorder="1" applyAlignment="1" applyProtection="1">
      <alignment horizontal="center" vertical="center"/>
    </xf>
    <xf numFmtId="176" fontId="0" fillId="9" borderId="14" xfId="0" applyNumberFormat="1" applyFill="1" applyBorder="1" applyAlignment="1" applyProtection="1">
      <alignment horizontal="center" vertical="center"/>
    </xf>
    <xf numFmtId="0" fontId="4" fillId="9" borderId="13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61160</xdr:colOff>
      <xdr:row>16</xdr:row>
      <xdr:rowOff>177375</xdr:rowOff>
    </xdr:from>
    <xdr:to>
      <xdr:col>9</xdr:col>
      <xdr:colOff>758432</xdr:colOff>
      <xdr:row>25</xdr:row>
      <xdr:rowOff>70338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2EA7951-0B62-92A6-00EB-17DC2CF9D5AE}"/>
            </a:ext>
          </a:extLst>
        </xdr:cNvPr>
        <xdr:cNvSpPr/>
      </xdr:nvSpPr>
      <xdr:spPr>
        <a:xfrm>
          <a:off x="117431" y="3504384"/>
          <a:ext cx="2519038" cy="1595154"/>
        </a:xfrm>
        <a:prstGeom prst="wedgeRoundRectCallout">
          <a:avLst>
            <a:gd name="adj1" fmla="val -21865"/>
            <a:gd name="adj2" fmla="val -67987"/>
            <a:gd name="adj3" fmla="val 16667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お客様の情報を入力してください。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・口径（選択）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・水量（数値を入力）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・下水道の区域（選択）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en-US" altLang="ja-JP" sz="1100" kern="1200">
              <a:solidFill>
                <a:schemeClr val="tx1"/>
              </a:solidFill>
            </a:rPr>
            <a:t>※</a:t>
          </a:r>
          <a:r>
            <a:rPr kumimoji="1" lang="ja-JP" altLang="en-US" sz="1100" kern="1200">
              <a:solidFill>
                <a:schemeClr val="tx1"/>
              </a:solidFill>
            </a:rPr>
            <a:t>分からない場合は、検針票を参照</a:t>
          </a:r>
        </a:p>
      </xdr:txBody>
    </xdr:sp>
    <xdr:clientData/>
  </xdr:twoCellAnchor>
  <xdr:twoCellAnchor>
    <xdr:from>
      <xdr:col>7</xdr:col>
      <xdr:colOff>30582</xdr:colOff>
      <xdr:row>9</xdr:row>
      <xdr:rowOff>12235</xdr:rowOff>
    </xdr:from>
    <xdr:to>
      <xdr:col>13</xdr:col>
      <xdr:colOff>159026</xdr:colOff>
      <xdr:row>12</xdr:row>
      <xdr:rowOff>28135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541D07D-8B22-405D-9B17-2691431733B1}"/>
            </a:ext>
          </a:extLst>
        </xdr:cNvPr>
        <xdr:cNvSpPr/>
      </xdr:nvSpPr>
      <xdr:spPr>
        <a:xfrm>
          <a:off x="1388114" y="1911373"/>
          <a:ext cx="2041650" cy="627845"/>
        </a:xfrm>
        <a:prstGeom prst="wedgeRoundRectCallout">
          <a:avLst>
            <a:gd name="adj1" fmla="val -24437"/>
            <a:gd name="adj2" fmla="val -84960"/>
            <a:gd name="adj3" fmla="val 16667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0" kern="1200">
              <a:solidFill>
                <a:schemeClr val="tx1"/>
              </a:solidFill>
            </a:rPr>
            <a:t>　　水道と下水道を合計した金額が表示されます。</a:t>
          </a:r>
          <a:endParaRPr kumimoji="1" lang="en-US" altLang="ja-JP" sz="1400" b="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225172</xdr:colOff>
      <xdr:row>1</xdr:row>
      <xdr:rowOff>28136</xdr:rowOff>
    </xdr:from>
    <xdr:to>
      <xdr:col>19</xdr:col>
      <xdr:colOff>386861</xdr:colOff>
      <xdr:row>2</xdr:row>
      <xdr:rowOff>189914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1A034DF-86BD-4392-BF81-2BC66BEB5DF8}"/>
            </a:ext>
          </a:extLst>
        </xdr:cNvPr>
        <xdr:cNvSpPr/>
      </xdr:nvSpPr>
      <xdr:spPr>
        <a:xfrm>
          <a:off x="3003541" y="309490"/>
          <a:ext cx="3017431" cy="344658"/>
        </a:xfrm>
        <a:prstGeom prst="wedgeRoundRectCallout">
          <a:avLst>
            <a:gd name="adj1" fmla="val -38963"/>
            <a:gd name="adj2" fmla="val 131981"/>
            <a:gd name="adj3" fmla="val 16667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0" kern="1200">
              <a:solidFill>
                <a:schemeClr val="tx1"/>
              </a:solidFill>
            </a:rPr>
            <a:t>　水道と下水道の金額の内訳が表示されます。</a:t>
          </a:r>
          <a:endParaRPr kumimoji="1" lang="en-US" altLang="ja-JP" sz="1400" b="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33</xdr:col>
      <xdr:colOff>37615</xdr:colOff>
      <xdr:row>25</xdr:row>
      <xdr:rowOff>5811</xdr:rowOff>
    </xdr:from>
    <xdr:to>
      <xdr:col>41</xdr:col>
      <xdr:colOff>28134</xdr:colOff>
      <xdr:row>27</xdr:row>
      <xdr:rowOff>14068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CE1E8CA-314A-4DA5-A862-74B405693DEE}"/>
            </a:ext>
          </a:extLst>
        </xdr:cNvPr>
        <xdr:cNvSpPr/>
      </xdr:nvSpPr>
      <xdr:spPr>
        <a:xfrm>
          <a:off x="11952950" y="5035011"/>
          <a:ext cx="4140489" cy="374017"/>
        </a:xfrm>
        <a:prstGeom prst="wedgeRoundRectCallout">
          <a:avLst>
            <a:gd name="adj1" fmla="val -31238"/>
            <a:gd name="adj2" fmla="val -121931"/>
            <a:gd name="adj3" fmla="val 16667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0" kern="1200">
              <a:solidFill>
                <a:schemeClr val="tx1"/>
              </a:solidFill>
            </a:rPr>
            <a:t>　水道と下水道の水量に応じた料金の内訳が表示されます。</a:t>
          </a:r>
          <a:endParaRPr kumimoji="1" lang="en-US" altLang="ja-JP" sz="1400" b="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320542</xdr:colOff>
      <xdr:row>23</xdr:row>
      <xdr:rowOff>20095</xdr:rowOff>
    </xdr:from>
    <xdr:to>
      <xdr:col>31</xdr:col>
      <xdr:colOff>35563</xdr:colOff>
      <xdr:row>28</xdr:row>
      <xdr:rowOff>126609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F8FCC325-9079-4B6F-92F7-1906094C81A3}"/>
            </a:ext>
          </a:extLst>
        </xdr:cNvPr>
        <xdr:cNvSpPr/>
      </xdr:nvSpPr>
      <xdr:spPr>
        <a:xfrm>
          <a:off x="8099976" y="4789043"/>
          <a:ext cx="2542627" cy="915406"/>
        </a:xfrm>
        <a:prstGeom prst="wedgeRoundRectCallout">
          <a:avLst>
            <a:gd name="adj1" fmla="val -10771"/>
            <a:gd name="adj2" fmla="val -35155"/>
            <a:gd name="adj3" fmla="val 16667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0" kern="1200">
              <a:solidFill>
                <a:schemeClr val="tx1"/>
              </a:solidFill>
            </a:rPr>
            <a:t>　そのまま印刷できます。</a:t>
          </a:r>
          <a:endParaRPr kumimoji="1" lang="en-US" altLang="ja-JP" sz="1100" b="0" kern="1200">
            <a:solidFill>
              <a:schemeClr val="tx1"/>
            </a:solidFill>
          </a:endParaRPr>
        </a:p>
        <a:p>
          <a:pPr algn="l"/>
          <a:r>
            <a:rPr kumimoji="1" lang="ja-JP" altLang="en-US" sz="1100" b="0" kern="1200">
              <a:solidFill>
                <a:schemeClr val="tx1"/>
              </a:solidFill>
            </a:rPr>
            <a:t>こちらが　　　　　　　　　こちらが</a:t>
          </a:r>
          <a:endParaRPr kumimoji="1" lang="en-US" altLang="ja-JP" sz="1100" b="0" kern="1200">
            <a:solidFill>
              <a:schemeClr val="tx1"/>
            </a:solidFill>
          </a:endParaRPr>
        </a:p>
        <a:p>
          <a:pPr algn="l"/>
          <a:r>
            <a:rPr kumimoji="1" lang="en-US" altLang="ja-JP" sz="1100" b="0" kern="1200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100" b="0" kern="1200">
              <a:solidFill>
                <a:schemeClr val="tx1"/>
              </a:solidFill>
            </a:rPr>
            <a:t>枚目　　                　　　　　</a:t>
          </a:r>
          <a:r>
            <a:rPr kumimoji="1" lang="ja-JP" altLang="en-US" sz="1100" b="0" kern="1200" baseline="0">
              <a:solidFill>
                <a:schemeClr val="tx1"/>
              </a:solidFill>
            </a:rPr>
            <a:t>   </a:t>
          </a:r>
          <a:r>
            <a:rPr kumimoji="1" lang="ja-JP" altLang="en-US" sz="1100" b="0" kern="1200">
              <a:solidFill>
                <a:schemeClr val="tx1"/>
              </a:solidFill>
            </a:rPr>
            <a:t>２枚目</a:t>
          </a:r>
          <a:endParaRPr kumimoji="1" lang="en-US" altLang="ja-JP" sz="1100" b="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42204</xdr:colOff>
      <xdr:row>15</xdr:row>
      <xdr:rowOff>189913</xdr:rowOff>
    </xdr:from>
    <xdr:to>
      <xdr:col>3</xdr:col>
      <xdr:colOff>403865</xdr:colOff>
      <xdr:row>18</xdr:row>
      <xdr:rowOff>2935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1BCBC3DE-3D0C-1784-2CD4-47318457EDF6}"/>
            </a:ext>
          </a:extLst>
        </xdr:cNvPr>
        <xdr:cNvSpPr/>
      </xdr:nvSpPr>
      <xdr:spPr>
        <a:xfrm>
          <a:off x="168813" y="3312941"/>
          <a:ext cx="432000" cy="432000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kern="1200"/>
            <a:t>①</a:t>
          </a:r>
        </a:p>
      </xdr:txBody>
    </xdr:sp>
    <xdr:clientData/>
  </xdr:twoCellAnchor>
  <xdr:twoCellAnchor>
    <xdr:from>
      <xdr:col>5</xdr:col>
      <xdr:colOff>35170</xdr:colOff>
      <xdr:row>8</xdr:row>
      <xdr:rowOff>70339</xdr:rowOff>
    </xdr:from>
    <xdr:to>
      <xdr:col>8</xdr:col>
      <xdr:colOff>270222</xdr:colOff>
      <xdr:row>10</xdr:row>
      <xdr:rowOff>94376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92A9724C-369E-43B4-BEDF-41221AA51935}"/>
            </a:ext>
          </a:extLst>
        </xdr:cNvPr>
        <xdr:cNvSpPr/>
      </xdr:nvSpPr>
      <xdr:spPr>
        <a:xfrm>
          <a:off x="1259059" y="1765496"/>
          <a:ext cx="432000" cy="432000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kern="1200"/>
            <a:t>②</a:t>
          </a:r>
        </a:p>
      </xdr:txBody>
    </xdr:sp>
    <xdr:clientData/>
  </xdr:twoCellAnchor>
  <xdr:twoCellAnchor>
    <xdr:from>
      <xdr:col>10</xdr:col>
      <xdr:colOff>7035</xdr:colOff>
      <xdr:row>0</xdr:row>
      <xdr:rowOff>211016</xdr:rowOff>
    </xdr:from>
    <xdr:to>
      <xdr:col>12</xdr:col>
      <xdr:colOff>312426</xdr:colOff>
      <xdr:row>2</xdr:row>
      <xdr:rowOff>178782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EEE1A1CA-0064-417F-B9C9-C1CAA66794BF}"/>
            </a:ext>
          </a:extLst>
        </xdr:cNvPr>
        <xdr:cNvSpPr/>
      </xdr:nvSpPr>
      <xdr:spPr>
        <a:xfrm>
          <a:off x="2658795" y="211016"/>
          <a:ext cx="432000" cy="432000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kern="1200"/>
            <a:t>③</a:t>
          </a:r>
        </a:p>
      </xdr:txBody>
    </xdr:sp>
    <xdr:clientData/>
  </xdr:twoCellAnchor>
  <xdr:twoCellAnchor>
    <xdr:from>
      <xdr:col>32</xdr:col>
      <xdr:colOff>433753</xdr:colOff>
      <xdr:row>24</xdr:row>
      <xdr:rowOff>25791</xdr:rowOff>
    </xdr:from>
    <xdr:to>
      <xdr:col>34</xdr:col>
      <xdr:colOff>99064</xdr:colOff>
      <xdr:row>26</xdr:row>
      <xdr:rowOff>92031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82C3F0D4-60D6-45DE-BFA1-58C5019C7CBC}"/>
            </a:ext>
          </a:extLst>
        </xdr:cNvPr>
        <xdr:cNvSpPr/>
      </xdr:nvSpPr>
      <xdr:spPr>
        <a:xfrm>
          <a:off x="11694941" y="4872111"/>
          <a:ext cx="432000" cy="432000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kern="1200"/>
            <a:t>⑤</a:t>
          </a:r>
        </a:p>
      </xdr:txBody>
    </xdr:sp>
    <xdr:clientData/>
  </xdr:twoCellAnchor>
  <xdr:twoCellAnchor>
    <xdr:from>
      <xdr:col>23</xdr:col>
      <xdr:colOff>84406</xdr:colOff>
      <xdr:row>22</xdr:row>
      <xdr:rowOff>91440</xdr:rowOff>
    </xdr:from>
    <xdr:to>
      <xdr:col>23</xdr:col>
      <xdr:colOff>516406</xdr:colOff>
      <xdr:row>25</xdr:row>
      <xdr:rowOff>59206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DBE66C19-E059-4613-A148-A79CB36F47E9}"/>
            </a:ext>
          </a:extLst>
        </xdr:cNvPr>
        <xdr:cNvSpPr/>
      </xdr:nvSpPr>
      <xdr:spPr>
        <a:xfrm>
          <a:off x="7863840" y="4656406"/>
          <a:ext cx="432000" cy="432000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kern="1200" baseline="0"/>
            <a:t>⑥</a:t>
          </a:r>
          <a:endParaRPr kumimoji="1" lang="en-US" altLang="ja-JP" sz="2400" b="1" kern="1200" baseline="0"/>
        </a:p>
      </xdr:txBody>
    </xdr:sp>
    <xdr:clientData/>
  </xdr:twoCellAnchor>
  <xdr:twoCellAnchor>
    <xdr:from>
      <xdr:col>30</xdr:col>
      <xdr:colOff>7034</xdr:colOff>
      <xdr:row>28</xdr:row>
      <xdr:rowOff>35169</xdr:rowOff>
    </xdr:from>
    <xdr:to>
      <xdr:col>30</xdr:col>
      <xdr:colOff>619034</xdr:colOff>
      <xdr:row>28</xdr:row>
      <xdr:rowOff>35169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28D5BA41-F5F7-2E7C-88AC-53E15A98405B}"/>
            </a:ext>
          </a:extLst>
        </xdr:cNvPr>
        <xdr:cNvCxnSpPr/>
      </xdr:nvCxnSpPr>
      <xdr:spPr>
        <a:xfrm flipV="1">
          <a:off x="9959926" y="5613009"/>
          <a:ext cx="61200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429065</xdr:colOff>
      <xdr:row>28</xdr:row>
      <xdr:rowOff>42203</xdr:rowOff>
    </xdr:from>
    <xdr:to>
      <xdr:col>25</xdr:col>
      <xdr:colOff>351693</xdr:colOff>
      <xdr:row>28</xdr:row>
      <xdr:rowOff>42203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2680C897-E773-4257-BA6A-2DEB4B79728C}"/>
            </a:ext>
          </a:extLst>
        </xdr:cNvPr>
        <xdr:cNvCxnSpPr/>
      </xdr:nvCxnSpPr>
      <xdr:spPr>
        <a:xfrm flipH="1">
          <a:off x="8208499" y="5620043"/>
          <a:ext cx="64008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253306</xdr:colOff>
      <xdr:row>3</xdr:row>
      <xdr:rowOff>126609</xdr:rowOff>
    </xdr:from>
    <xdr:to>
      <xdr:col>25</xdr:col>
      <xdr:colOff>703385</xdr:colOff>
      <xdr:row>6</xdr:row>
      <xdr:rowOff>175845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C15DEBD3-D793-4965-908D-C65C6E26C24D}"/>
            </a:ext>
          </a:extLst>
        </xdr:cNvPr>
        <xdr:cNvSpPr/>
      </xdr:nvSpPr>
      <xdr:spPr>
        <a:xfrm>
          <a:off x="5887417" y="801858"/>
          <a:ext cx="3312854" cy="661181"/>
        </a:xfrm>
        <a:prstGeom prst="wedgeRoundRectCallout">
          <a:avLst>
            <a:gd name="adj1" fmla="val -40261"/>
            <a:gd name="adj2" fmla="val 82850"/>
            <a:gd name="adj3" fmla="val 16667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0" kern="1200">
              <a:solidFill>
                <a:schemeClr val="tx1"/>
              </a:solidFill>
            </a:rPr>
            <a:t>　水道、下水道それぞれの計算式が月ごとに表示されます。</a:t>
          </a:r>
          <a:endParaRPr kumimoji="1" lang="en-US" altLang="ja-JP" sz="1400" b="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</xdr:colOff>
      <xdr:row>3</xdr:row>
      <xdr:rowOff>28136</xdr:rowOff>
    </xdr:from>
    <xdr:to>
      <xdr:col>19</xdr:col>
      <xdr:colOff>432001</xdr:colOff>
      <xdr:row>5</xdr:row>
      <xdr:rowOff>52173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C93A49D2-0349-40A7-9E4A-5B0C8E5F5E02}"/>
            </a:ext>
          </a:extLst>
        </xdr:cNvPr>
        <xdr:cNvSpPr/>
      </xdr:nvSpPr>
      <xdr:spPr>
        <a:xfrm>
          <a:off x="5634112" y="703385"/>
          <a:ext cx="432000" cy="432000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kern="1200"/>
            <a:t>④</a:t>
          </a:r>
        </a:p>
      </xdr:txBody>
    </xdr:sp>
    <xdr:clientData/>
  </xdr:twoCellAnchor>
  <xdr:twoCellAnchor>
    <xdr:from>
      <xdr:col>9</xdr:col>
      <xdr:colOff>672337</xdr:colOff>
      <xdr:row>12</xdr:row>
      <xdr:rowOff>164809</xdr:rowOff>
    </xdr:from>
    <xdr:to>
      <xdr:col>21</xdr:col>
      <xdr:colOff>541638</xdr:colOff>
      <xdr:row>28</xdr:row>
      <xdr:rowOff>1889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3EEF4B26-9CC2-4D18-2FE1-29C083CB74A2}"/>
            </a:ext>
          </a:extLst>
        </xdr:cNvPr>
        <xdr:cNvGrpSpPr/>
      </xdr:nvGrpSpPr>
      <xdr:grpSpPr>
        <a:xfrm>
          <a:off x="2555243" y="2691583"/>
          <a:ext cx="4549514" cy="2921151"/>
          <a:chOff x="2552604" y="2662682"/>
          <a:chExt cx="4549382" cy="2890799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23860321-6140-55B3-8C34-465E25C4C4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52604" y="2662682"/>
            <a:ext cx="4549382" cy="2890799"/>
          </a:xfrm>
          <a:prstGeom prst="rect">
            <a:avLst/>
          </a:prstGeom>
          <a:pattFill prst="pct5">
            <a:fgClr>
              <a:schemeClr val="accent1"/>
            </a:fgClr>
            <a:bgClr>
              <a:schemeClr val="bg1"/>
            </a:bgClr>
          </a:pattFill>
          <a:ln w="6350" cmpd="sng">
            <a:solidFill>
              <a:srgbClr val="000000"/>
            </a:solidFill>
            <a:miter lim="800000"/>
            <a:headEnd/>
            <a:tailEnd/>
          </a:ln>
          <a:effectLst/>
        </xdr:spPr>
      </xdr:pic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B2D68B2-46E6-4690-8878-C707F5FA37B9}"/>
              </a:ext>
            </a:extLst>
          </xdr:cNvPr>
          <xdr:cNvSpPr/>
        </xdr:nvSpPr>
        <xdr:spPr>
          <a:xfrm>
            <a:off x="3015932" y="4614577"/>
            <a:ext cx="2618733" cy="334067"/>
          </a:xfrm>
          <a:prstGeom prst="rect">
            <a:avLst/>
          </a:prstGeom>
          <a:solidFill>
            <a:schemeClr val="bg1"/>
          </a:solidFill>
          <a:ln w="285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0" bIns="0" rtlCol="0" anchor="t"/>
          <a:lstStyle/>
          <a:p>
            <a:pPr algn="l"/>
            <a:r>
              <a:rPr kumimoji="1" lang="ja-JP" altLang="en-US" sz="600" b="1" kern="120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お使いの下水道は公共下水道です。</a:t>
            </a:r>
            <a:endParaRPr kumimoji="1" lang="ja-JP" altLang="en-US" sz="500" b="1" kern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EC7F5FDA-FEC2-436F-79D7-1FAFED7F902F}"/>
              </a:ext>
            </a:extLst>
          </xdr:cNvPr>
          <xdr:cNvSpPr/>
        </xdr:nvSpPr>
        <xdr:spPr>
          <a:xfrm>
            <a:off x="4499663" y="3371228"/>
            <a:ext cx="1161795" cy="141107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1C682B2C-25C4-4709-98AF-A1E941688E7F}"/>
              </a:ext>
            </a:extLst>
          </xdr:cNvPr>
          <xdr:cNvSpPr/>
        </xdr:nvSpPr>
        <xdr:spPr>
          <a:xfrm>
            <a:off x="2651695" y="4078637"/>
            <a:ext cx="1463914" cy="124906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E2DC4C49-14F8-467F-B024-E137C7D40104}"/>
              </a:ext>
            </a:extLst>
          </xdr:cNvPr>
          <xdr:cNvSpPr/>
        </xdr:nvSpPr>
        <xdr:spPr>
          <a:xfrm>
            <a:off x="3040233" y="4597874"/>
            <a:ext cx="2038853" cy="159084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F5B9A579-AF18-43B1-A39C-F263B9A5691A}"/>
              </a:ext>
            </a:extLst>
          </xdr:cNvPr>
          <xdr:cNvSpPr/>
        </xdr:nvSpPr>
        <xdr:spPr>
          <a:xfrm>
            <a:off x="5059664" y="4099271"/>
            <a:ext cx="440461" cy="153027"/>
          </a:xfrm>
          <a:prstGeom prst="rect">
            <a:avLst/>
          </a:prstGeom>
          <a:solidFill>
            <a:schemeClr val="bg1"/>
          </a:solidFill>
          <a:ln w="285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r"/>
            <a:r>
              <a:rPr kumimoji="1" lang="en-US" altLang="ja-JP" sz="900" b="1" kern="1200">
                <a:solidFill>
                  <a:schemeClr val="tx1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5,720</a:t>
            </a:r>
            <a:endParaRPr kumimoji="1" lang="ja-JP" altLang="en-US" sz="800" b="1" kern="12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</xdr:txBody>
      </xdr:sp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0285427C-B2A0-4A15-92E7-C99F07580055}"/>
              </a:ext>
            </a:extLst>
          </xdr:cNvPr>
          <xdr:cNvSpPr/>
        </xdr:nvSpPr>
        <xdr:spPr>
          <a:xfrm>
            <a:off x="5192417" y="3779662"/>
            <a:ext cx="317054" cy="298216"/>
          </a:xfrm>
          <a:prstGeom prst="rect">
            <a:avLst/>
          </a:prstGeom>
          <a:solidFill>
            <a:schemeClr val="bg1"/>
          </a:solidFill>
          <a:ln w="285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r"/>
            <a:r>
              <a:rPr kumimoji="1" lang="ja-JP" altLang="en-US" sz="600" b="1" kern="1200">
                <a:solidFill>
                  <a:schemeClr val="tx1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３，８０６</a:t>
            </a:r>
            <a:endParaRPr kumimoji="1" lang="en-US" altLang="ja-JP" sz="600" b="1" kern="12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  <a:p>
            <a:pPr algn="r">
              <a:lnSpc>
                <a:spcPts val="400"/>
              </a:lnSpc>
            </a:pPr>
            <a:r>
              <a:rPr kumimoji="1" lang="ja-JP" altLang="en-US" sz="400" b="1" kern="1200">
                <a:solidFill>
                  <a:schemeClr val="tx1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３４６</a:t>
            </a:r>
            <a:endParaRPr kumimoji="1" lang="en-US" altLang="ja-JP" sz="400" b="1" kern="12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  <a:p>
            <a:pPr algn="r">
              <a:lnSpc>
                <a:spcPts val="700"/>
              </a:lnSpc>
            </a:pPr>
            <a:r>
              <a:rPr kumimoji="1" lang="ja-JP" altLang="en-US" sz="600" b="1">
                <a:solidFill>
                  <a:schemeClr val="tx1"/>
                </a:solidFill>
                <a:effectLst/>
                <a:latin typeface="HGPｺﾞｼｯｸE" panose="020B0900000000000000" pitchFamily="50" charset="-128"/>
                <a:ea typeface="HGPｺﾞｼｯｸE" panose="020B0900000000000000" pitchFamily="50" charset="-128"/>
                <a:cs typeface="+mn-cs"/>
              </a:rPr>
              <a:t>１，９１４</a:t>
            </a:r>
            <a:endParaRPr lang="ja-JP" altLang="ja-JP" sz="600" b="1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  <a:p>
            <a:pPr algn="r">
              <a:lnSpc>
                <a:spcPts val="400"/>
              </a:lnSpc>
            </a:pPr>
            <a:r>
              <a:rPr lang="en-US" altLang="ja-JP" sz="400" b="1">
                <a:solidFill>
                  <a:schemeClr val="tx1"/>
                </a:solidFill>
                <a:effectLst/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174</a:t>
            </a:r>
            <a:endParaRPr lang="ja-JP" altLang="ja-JP" sz="400" b="1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  <a:p>
            <a:pPr algn="r">
              <a:lnSpc>
                <a:spcPts val="400"/>
              </a:lnSpc>
            </a:pPr>
            <a:endParaRPr kumimoji="1" lang="ja-JP" altLang="en-US" sz="500" b="1" kern="12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O15" sqref="O15"/>
    </sheetView>
  </sheetViews>
  <sheetFormatPr defaultRowHeight="14.4" x14ac:dyDescent="0.4"/>
  <cols>
    <col min="1" max="4" width="8" style="1" customWidth="1"/>
    <col min="5" max="11" width="8.1796875" style="1" customWidth="1"/>
    <col min="12" max="13" width="10.36328125" style="1" customWidth="1"/>
    <col min="14" max="16384" width="8.7265625" style="1"/>
  </cols>
  <sheetData>
    <row r="1" spans="1:20" x14ac:dyDescent="0.4">
      <c r="E1" s="2" t="s">
        <v>10</v>
      </c>
      <c r="F1" s="2" t="s">
        <v>11</v>
      </c>
      <c r="G1" s="2" t="s">
        <v>11</v>
      </c>
      <c r="H1" s="2" t="s">
        <v>11</v>
      </c>
      <c r="I1" s="2" t="s">
        <v>15</v>
      </c>
      <c r="J1" s="2" t="s">
        <v>15</v>
      </c>
    </row>
    <row r="2" spans="1:20" x14ac:dyDescent="0.4">
      <c r="A2" s="1" t="s">
        <v>47</v>
      </c>
      <c r="B2" s="1" t="s">
        <v>20</v>
      </c>
      <c r="C2" s="1" t="s">
        <v>21</v>
      </c>
      <c r="D2" s="1" t="s">
        <v>22</v>
      </c>
      <c r="E2" s="2" t="s">
        <v>2</v>
      </c>
      <c r="F2" s="3" t="s">
        <v>3</v>
      </c>
      <c r="G2" s="3" t="s">
        <v>4</v>
      </c>
      <c r="H2" s="3" t="s">
        <v>5</v>
      </c>
      <c r="I2" s="2" t="s">
        <v>7</v>
      </c>
      <c r="J2" s="2" t="s">
        <v>8</v>
      </c>
      <c r="K2" s="3" t="s">
        <v>14</v>
      </c>
      <c r="L2" s="2"/>
      <c r="M2" s="2"/>
      <c r="N2" s="3"/>
      <c r="O2" s="3"/>
      <c r="P2" s="3"/>
      <c r="Q2" s="3"/>
      <c r="R2" s="3"/>
      <c r="S2" s="2"/>
      <c r="T2" s="3"/>
    </row>
    <row r="3" spans="1:20" x14ac:dyDescent="0.4">
      <c r="A3" s="1" t="s">
        <v>9</v>
      </c>
      <c r="C3" s="1" t="s">
        <v>0</v>
      </c>
      <c r="D3" s="1" t="s">
        <v>6</v>
      </c>
      <c r="E3" s="9">
        <v>13</v>
      </c>
      <c r="F3" s="4"/>
      <c r="G3" s="4"/>
      <c r="H3" s="4"/>
      <c r="I3" s="1">
        <v>530</v>
      </c>
      <c r="J3" s="6">
        <v>480</v>
      </c>
      <c r="K3" s="8">
        <f>J3-I3</f>
        <v>-50</v>
      </c>
      <c r="L3" s="4"/>
      <c r="M3" s="6"/>
      <c r="N3" s="7"/>
      <c r="O3" s="7"/>
      <c r="P3" s="7"/>
      <c r="Q3" s="7"/>
      <c r="S3" s="5"/>
    </row>
    <row r="4" spans="1:20" x14ac:dyDescent="0.4">
      <c r="A4" s="1" t="s">
        <v>9</v>
      </c>
      <c r="C4" s="1" t="s">
        <v>0</v>
      </c>
      <c r="D4" s="1" t="s">
        <v>6</v>
      </c>
      <c r="E4" s="9">
        <v>20</v>
      </c>
      <c r="F4" s="4"/>
      <c r="G4" s="4"/>
      <c r="H4" s="4"/>
      <c r="I4" s="6">
        <v>1450</v>
      </c>
      <c r="J4" s="6">
        <v>1310</v>
      </c>
      <c r="K4" s="8">
        <f t="shared" ref="K4:K27" si="0">J4-I4</f>
        <v>-140</v>
      </c>
      <c r="L4" s="4"/>
      <c r="M4" s="6"/>
      <c r="S4" s="5"/>
      <c r="T4" s="6"/>
    </row>
    <row r="5" spans="1:20" x14ac:dyDescent="0.4">
      <c r="A5" s="1" t="s">
        <v>9</v>
      </c>
      <c r="C5" s="1" t="s">
        <v>0</v>
      </c>
      <c r="D5" s="1" t="s">
        <v>6</v>
      </c>
      <c r="E5" s="9">
        <v>25</v>
      </c>
      <c r="F5" s="4"/>
      <c r="G5" s="4"/>
      <c r="H5" s="4"/>
      <c r="I5" s="6">
        <v>2500</v>
      </c>
      <c r="J5" s="6">
        <v>2250</v>
      </c>
      <c r="K5" s="8">
        <f t="shared" si="0"/>
        <v>-250</v>
      </c>
      <c r="L5" s="4"/>
      <c r="M5" s="6"/>
      <c r="S5" s="5"/>
      <c r="T5" s="6"/>
    </row>
    <row r="6" spans="1:20" x14ac:dyDescent="0.4">
      <c r="A6" s="1" t="s">
        <v>9</v>
      </c>
      <c r="C6" s="1" t="s">
        <v>0</v>
      </c>
      <c r="D6" s="1" t="s">
        <v>6</v>
      </c>
      <c r="E6" s="9">
        <v>30</v>
      </c>
      <c r="F6" s="4"/>
      <c r="G6" s="4"/>
      <c r="H6" s="4"/>
      <c r="I6" s="6">
        <v>3900</v>
      </c>
      <c r="J6" s="6">
        <v>3500</v>
      </c>
      <c r="K6" s="8">
        <f t="shared" si="0"/>
        <v>-400</v>
      </c>
      <c r="L6" s="4"/>
      <c r="M6" s="6"/>
      <c r="S6" s="5"/>
      <c r="T6" s="6"/>
    </row>
    <row r="7" spans="1:20" x14ac:dyDescent="0.4">
      <c r="A7" s="1" t="s">
        <v>9</v>
      </c>
      <c r="C7" s="1" t="s">
        <v>0</v>
      </c>
      <c r="D7" s="1" t="s">
        <v>6</v>
      </c>
      <c r="E7" s="9">
        <v>40</v>
      </c>
      <c r="F7" s="4"/>
      <c r="G7" s="4"/>
      <c r="H7" s="4"/>
      <c r="I7" s="6">
        <v>7700</v>
      </c>
      <c r="J7" s="6">
        <v>6900</v>
      </c>
      <c r="K7" s="8">
        <f t="shared" si="0"/>
        <v>-800</v>
      </c>
      <c r="L7" s="4"/>
      <c r="M7" s="6"/>
      <c r="S7" s="5"/>
      <c r="T7" s="6"/>
    </row>
    <row r="8" spans="1:20" x14ac:dyDescent="0.4">
      <c r="A8" s="1" t="s">
        <v>9</v>
      </c>
      <c r="C8" s="1" t="s">
        <v>0</v>
      </c>
      <c r="D8" s="1" t="s">
        <v>6</v>
      </c>
      <c r="E8" s="9">
        <v>50</v>
      </c>
      <c r="F8" s="4"/>
      <c r="G8" s="4"/>
      <c r="H8" s="4"/>
      <c r="I8" s="6">
        <v>13300</v>
      </c>
      <c r="J8" s="6">
        <v>12000</v>
      </c>
      <c r="K8" s="8">
        <f t="shared" si="0"/>
        <v>-1300</v>
      </c>
      <c r="L8" s="4"/>
      <c r="M8" s="6"/>
      <c r="S8" s="5"/>
      <c r="T8" s="6"/>
    </row>
    <row r="9" spans="1:20" x14ac:dyDescent="0.4">
      <c r="A9" s="1" t="s">
        <v>9</v>
      </c>
      <c r="C9" s="1" t="s">
        <v>0</v>
      </c>
      <c r="D9" s="1" t="s">
        <v>6</v>
      </c>
      <c r="E9" s="9">
        <v>75</v>
      </c>
      <c r="F9" s="4"/>
      <c r="G9" s="4"/>
      <c r="H9" s="4"/>
      <c r="I9" s="6">
        <v>36000</v>
      </c>
      <c r="J9" s="6">
        <v>32400</v>
      </c>
      <c r="K9" s="8">
        <f t="shared" si="0"/>
        <v>-3600</v>
      </c>
      <c r="L9" s="4"/>
      <c r="M9" s="6"/>
      <c r="T9" s="6"/>
    </row>
    <row r="10" spans="1:20" x14ac:dyDescent="0.4">
      <c r="A10" s="1" t="s">
        <v>9</v>
      </c>
      <c r="C10" s="1" t="s">
        <v>0</v>
      </c>
      <c r="D10" s="1" t="s">
        <v>6</v>
      </c>
      <c r="E10" s="9">
        <v>100</v>
      </c>
      <c r="F10" s="4"/>
      <c r="G10" s="4"/>
      <c r="H10" s="4"/>
      <c r="I10" s="6">
        <v>73400</v>
      </c>
      <c r="J10" s="6">
        <v>66100</v>
      </c>
      <c r="K10" s="8">
        <f t="shared" si="0"/>
        <v>-7300</v>
      </c>
      <c r="L10" s="4"/>
      <c r="M10" s="6"/>
      <c r="T10" s="6"/>
    </row>
    <row r="11" spans="1:20" x14ac:dyDescent="0.4">
      <c r="A11" s="1" t="s">
        <v>9</v>
      </c>
      <c r="C11" s="1" t="s">
        <v>0</v>
      </c>
      <c r="D11" s="1" t="s">
        <v>6</v>
      </c>
      <c r="E11" s="9">
        <v>150</v>
      </c>
      <c r="F11" s="4"/>
      <c r="G11" s="4"/>
      <c r="H11" s="4"/>
      <c r="I11" s="6">
        <v>203000</v>
      </c>
      <c r="J11" s="6">
        <v>183000</v>
      </c>
      <c r="K11" s="8">
        <f t="shared" si="0"/>
        <v>-20000</v>
      </c>
      <c r="L11" s="4"/>
      <c r="M11" s="6"/>
      <c r="T11" s="6"/>
    </row>
    <row r="12" spans="1:20" x14ac:dyDescent="0.4">
      <c r="A12" s="1" t="s">
        <v>9</v>
      </c>
      <c r="C12" s="1" t="s">
        <v>0</v>
      </c>
      <c r="D12" s="1" t="s">
        <v>6</v>
      </c>
      <c r="E12" s="9">
        <v>200</v>
      </c>
      <c r="F12" s="4"/>
      <c r="G12" s="4"/>
      <c r="H12" s="4"/>
      <c r="I12" s="6">
        <v>420000</v>
      </c>
      <c r="J12" s="6">
        <v>378000</v>
      </c>
      <c r="K12" s="8">
        <f t="shared" si="0"/>
        <v>-42000</v>
      </c>
      <c r="L12" s="4"/>
      <c r="M12" s="6"/>
      <c r="T12" s="6"/>
    </row>
    <row r="13" spans="1:20" x14ac:dyDescent="0.4">
      <c r="A13" s="1" t="s">
        <v>9</v>
      </c>
      <c r="C13" s="1" t="s">
        <v>0</v>
      </c>
      <c r="D13" s="1" t="s">
        <v>6</v>
      </c>
      <c r="E13" s="9">
        <v>250</v>
      </c>
      <c r="F13" s="4"/>
      <c r="G13" s="4"/>
      <c r="H13" s="4"/>
      <c r="I13" s="6">
        <v>740000</v>
      </c>
      <c r="J13" s="6">
        <v>0</v>
      </c>
      <c r="K13" s="8">
        <f t="shared" si="0"/>
        <v>-740000</v>
      </c>
      <c r="L13" s="4"/>
      <c r="M13" s="6"/>
    </row>
    <row r="14" spans="1:20" x14ac:dyDescent="0.4">
      <c r="A14" s="1" t="s">
        <v>9</v>
      </c>
      <c r="C14" s="1" t="s">
        <v>0</v>
      </c>
      <c r="D14" s="1" t="s">
        <v>6</v>
      </c>
      <c r="E14" s="9">
        <v>300</v>
      </c>
      <c r="F14" s="4"/>
      <c r="G14" s="4"/>
      <c r="H14" s="4"/>
      <c r="I14" s="6">
        <v>1180000</v>
      </c>
      <c r="J14" s="6">
        <v>0</v>
      </c>
      <c r="K14" s="8">
        <f t="shared" si="0"/>
        <v>-1180000</v>
      </c>
      <c r="L14" s="4"/>
      <c r="M14" s="6"/>
    </row>
    <row r="15" spans="1:20" x14ac:dyDescent="0.4">
      <c r="A15" s="1" t="s">
        <v>9</v>
      </c>
      <c r="C15" s="1" t="s">
        <v>1</v>
      </c>
      <c r="D15" s="1" t="s">
        <v>6</v>
      </c>
      <c r="F15" s="7">
        <v>0</v>
      </c>
      <c r="G15" s="10">
        <v>0</v>
      </c>
      <c r="H15" s="10">
        <v>0</v>
      </c>
      <c r="I15" s="7">
        <v>0</v>
      </c>
      <c r="J15" s="1">
        <v>0</v>
      </c>
      <c r="K15" s="8">
        <f t="shared" si="0"/>
        <v>0</v>
      </c>
    </row>
    <row r="16" spans="1:20" x14ac:dyDescent="0.4">
      <c r="A16" s="1" t="s">
        <v>9</v>
      </c>
      <c r="C16" s="1" t="s">
        <v>1</v>
      </c>
      <c r="D16" s="1" t="s">
        <v>6</v>
      </c>
      <c r="F16" s="1">
        <v>1</v>
      </c>
      <c r="G16" s="11">
        <v>1</v>
      </c>
      <c r="H16" s="11">
        <v>10</v>
      </c>
      <c r="I16" s="1">
        <v>28</v>
      </c>
      <c r="J16" s="6">
        <v>57</v>
      </c>
      <c r="K16" s="8">
        <f t="shared" si="0"/>
        <v>29</v>
      </c>
      <c r="L16" s="6"/>
    </row>
    <row r="17" spans="1:18" x14ac:dyDescent="0.4">
      <c r="A17" s="1" t="s">
        <v>9</v>
      </c>
      <c r="C17" s="1" t="s">
        <v>1</v>
      </c>
      <c r="D17" s="1" t="s">
        <v>6</v>
      </c>
      <c r="F17" s="1">
        <v>2</v>
      </c>
      <c r="G17" s="11">
        <v>11</v>
      </c>
      <c r="H17" s="11">
        <v>20</v>
      </c>
      <c r="I17" s="1">
        <v>56</v>
      </c>
      <c r="J17" s="6">
        <v>85</v>
      </c>
      <c r="K17" s="8">
        <f t="shared" si="0"/>
        <v>29</v>
      </c>
      <c r="L17" s="6"/>
    </row>
    <row r="18" spans="1:18" x14ac:dyDescent="0.4">
      <c r="A18" s="1" t="s">
        <v>9</v>
      </c>
      <c r="C18" s="1" t="s">
        <v>1</v>
      </c>
      <c r="D18" s="1" t="s">
        <v>6</v>
      </c>
      <c r="F18" s="1">
        <v>3</v>
      </c>
      <c r="G18" s="11">
        <v>21</v>
      </c>
      <c r="H18" s="11">
        <v>50</v>
      </c>
      <c r="I18" s="1">
        <v>92</v>
      </c>
      <c r="J18" s="6">
        <v>121</v>
      </c>
      <c r="K18" s="8">
        <f t="shared" si="0"/>
        <v>29</v>
      </c>
      <c r="L18" s="6"/>
    </row>
    <row r="19" spans="1:18" x14ac:dyDescent="0.4">
      <c r="A19" s="1" t="s">
        <v>9</v>
      </c>
      <c r="C19" s="1" t="s">
        <v>1</v>
      </c>
      <c r="D19" s="1" t="s">
        <v>6</v>
      </c>
      <c r="F19" s="1">
        <v>4</v>
      </c>
      <c r="G19" s="11">
        <v>51</v>
      </c>
      <c r="H19" s="11">
        <v>100</v>
      </c>
      <c r="I19" s="1">
        <v>160</v>
      </c>
      <c r="J19" s="6">
        <v>189</v>
      </c>
      <c r="K19" s="8">
        <f t="shared" si="0"/>
        <v>29</v>
      </c>
      <c r="L19" s="6"/>
    </row>
    <row r="20" spans="1:18" x14ac:dyDescent="0.4">
      <c r="A20" s="1" t="s">
        <v>9</v>
      </c>
      <c r="C20" s="1" t="s">
        <v>1</v>
      </c>
      <c r="D20" s="1" t="s">
        <v>6</v>
      </c>
      <c r="F20" s="1">
        <v>5</v>
      </c>
      <c r="G20" s="11">
        <v>101</v>
      </c>
      <c r="H20" s="11"/>
      <c r="I20" s="1">
        <v>240</v>
      </c>
      <c r="J20" s="6">
        <v>269</v>
      </c>
      <c r="K20" s="8">
        <f t="shared" si="0"/>
        <v>29</v>
      </c>
      <c r="L20" s="6"/>
      <c r="Q20" s="2"/>
      <c r="R20" s="2"/>
    </row>
    <row r="21" spans="1:18" x14ac:dyDescent="0.4">
      <c r="A21" s="1" t="s">
        <v>12</v>
      </c>
      <c r="B21" s="1" t="s">
        <v>17</v>
      </c>
      <c r="C21" s="1" t="s">
        <v>13</v>
      </c>
      <c r="D21" s="1" t="s">
        <v>6</v>
      </c>
      <c r="G21" s="11"/>
      <c r="H21" s="11"/>
      <c r="I21" s="1">
        <v>770</v>
      </c>
      <c r="J21" s="1">
        <v>770</v>
      </c>
      <c r="K21" s="8">
        <f t="shared" si="0"/>
        <v>0</v>
      </c>
      <c r="L21" s="5"/>
      <c r="N21" s="3"/>
      <c r="O21" s="3"/>
      <c r="P21" s="3"/>
      <c r="Q21" s="3"/>
      <c r="R21" s="3"/>
    </row>
    <row r="22" spans="1:18" x14ac:dyDescent="0.4">
      <c r="A22" s="1" t="s">
        <v>12</v>
      </c>
      <c r="B22" s="1" t="s">
        <v>17</v>
      </c>
      <c r="C22" s="1" t="s">
        <v>19</v>
      </c>
      <c r="D22" s="1" t="s">
        <v>6</v>
      </c>
      <c r="F22" s="7">
        <v>0</v>
      </c>
      <c r="G22" s="10">
        <v>0</v>
      </c>
      <c r="H22" s="10">
        <v>0</v>
      </c>
      <c r="I22" s="7">
        <v>0</v>
      </c>
      <c r="J22" s="7">
        <v>0</v>
      </c>
      <c r="K22" s="8">
        <f t="shared" si="0"/>
        <v>0</v>
      </c>
      <c r="L22" s="5"/>
      <c r="N22" s="7"/>
      <c r="O22" s="7"/>
      <c r="P22" s="7"/>
      <c r="Q22" s="7"/>
      <c r="R22" s="7"/>
    </row>
    <row r="23" spans="1:18" x14ac:dyDescent="0.4">
      <c r="A23" s="1" t="s">
        <v>12</v>
      </c>
      <c r="B23" s="1" t="s">
        <v>17</v>
      </c>
      <c r="C23" s="1" t="s">
        <v>19</v>
      </c>
      <c r="D23" s="1" t="s">
        <v>6</v>
      </c>
      <c r="F23" s="1">
        <v>1</v>
      </c>
      <c r="G23" s="11">
        <v>1</v>
      </c>
      <c r="H23" s="11">
        <v>10</v>
      </c>
      <c r="I23" s="1">
        <v>10</v>
      </c>
      <c r="J23" s="1">
        <v>10</v>
      </c>
      <c r="K23" s="8">
        <f t="shared" si="0"/>
        <v>0</v>
      </c>
      <c r="L23" s="5"/>
    </row>
    <row r="24" spans="1:18" x14ac:dyDescent="0.4">
      <c r="A24" s="1" t="s">
        <v>12</v>
      </c>
      <c r="B24" s="1" t="s">
        <v>17</v>
      </c>
      <c r="C24" s="1" t="s">
        <v>19</v>
      </c>
      <c r="D24" s="1" t="s">
        <v>6</v>
      </c>
      <c r="F24" s="1">
        <v>2</v>
      </c>
      <c r="G24" s="11">
        <v>11</v>
      </c>
      <c r="H24" s="11">
        <v>20</v>
      </c>
      <c r="I24" s="1">
        <v>120</v>
      </c>
      <c r="J24" s="1">
        <v>120</v>
      </c>
      <c r="K24" s="8">
        <f t="shared" si="0"/>
        <v>0</v>
      </c>
      <c r="L24" s="5"/>
    </row>
    <row r="25" spans="1:18" x14ac:dyDescent="0.4">
      <c r="A25" s="1" t="s">
        <v>12</v>
      </c>
      <c r="B25" s="1" t="s">
        <v>17</v>
      </c>
      <c r="C25" s="1" t="s">
        <v>19</v>
      </c>
      <c r="D25" s="1" t="s">
        <v>6</v>
      </c>
      <c r="F25" s="1">
        <v>3</v>
      </c>
      <c r="G25" s="11">
        <v>21</v>
      </c>
      <c r="H25" s="11">
        <v>50</v>
      </c>
      <c r="I25" s="1">
        <v>190</v>
      </c>
      <c r="J25" s="1">
        <v>190</v>
      </c>
      <c r="K25" s="8">
        <f t="shared" si="0"/>
        <v>0</v>
      </c>
      <c r="L25" s="5"/>
    </row>
    <row r="26" spans="1:18" x14ac:dyDescent="0.4">
      <c r="A26" s="1" t="s">
        <v>12</v>
      </c>
      <c r="B26" s="1" t="s">
        <v>17</v>
      </c>
      <c r="C26" s="1" t="s">
        <v>19</v>
      </c>
      <c r="D26" s="1" t="s">
        <v>6</v>
      </c>
      <c r="F26" s="1">
        <v>4</v>
      </c>
      <c r="G26" s="11">
        <v>51</v>
      </c>
      <c r="H26" s="11">
        <v>100</v>
      </c>
      <c r="I26" s="1">
        <v>270</v>
      </c>
      <c r="J26" s="1">
        <v>270</v>
      </c>
      <c r="K26" s="8">
        <f t="shared" si="0"/>
        <v>0</v>
      </c>
      <c r="L26" s="5"/>
    </row>
    <row r="27" spans="1:18" x14ac:dyDescent="0.4">
      <c r="A27" s="1" t="s">
        <v>12</v>
      </c>
      <c r="B27" s="1" t="s">
        <v>17</v>
      </c>
      <c r="C27" s="1" t="s">
        <v>19</v>
      </c>
      <c r="D27" s="1" t="s">
        <v>6</v>
      </c>
      <c r="F27" s="1">
        <v>5</v>
      </c>
      <c r="G27" s="11">
        <v>101</v>
      </c>
      <c r="H27" s="11"/>
      <c r="I27" s="1">
        <v>300</v>
      </c>
      <c r="J27" s="1">
        <v>300</v>
      </c>
      <c r="K27" s="8">
        <f t="shared" si="0"/>
        <v>0</v>
      </c>
      <c r="L27" s="5"/>
    </row>
    <row r="28" spans="1:18" x14ac:dyDescent="0.4">
      <c r="A28" s="1" t="s">
        <v>12</v>
      </c>
      <c r="B28" s="1" t="s">
        <v>18</v>
      </c>
      <c r="C28" s="1" t="s">
        <v>13</v>
      </c>
      <c r="D28" s="1" t="s">
        <v>6</v>
      </c>
      <c r="G28" s="11"/>
      <c r="H28" s="11"/>
      <c r="I28" s="1">
        <v>900</v>
      </c>
      <c r="J28" s="1">
        <v>900</v>
      </c>
      <c r="K28" s="8">
        <f t="shared" ref="K28:K34" si="1">J28-I28</f>
        <v>0</v>
      </c>
    </row>
    <row r="29" spans="1:18" x14ac:dyDescent="0.4">
      <c r="A29" s="1" t="s">
        <v>12</v>
      </c>
      <c r="B29" s="1" t="s">
        <v>18</v>
      </c>
      <c r="C29" s="1" t="s">
        <v>19</v>
      </c>
      <c r="D29" s="1" t="s">
        <v>6</v>
      </c>
      <c r="F29" s="7">
        <v>0</v>
      </c>
      <c r="G29" s="10">
        <v>0</v>
      </c>
      <c r="H29" s="10">
        <v>0</v>
      </c>
      <c r="I29" s="7">
        <v>0</v>
      </c>
      <c r="J29" s="7">
        <v>0</v>
      </c>
      <c r="K29" s="8">
        <f t="shared" si="1"/>
        <v>0</v>
      </c>
    </row>
    <row r="30" spans="1:18" x14ac:dyDescent="0.4">
      <c r="A30" s="1" t="s">
        <v>12</v>
      </c>
      <c r="B30" s="1" t="s">
        <v>18</v>
      </c>
      <c r="C30" s="1" t="s">
        <v>19</v>
      </c>
      <c r="D30" s="1" t="s">
        <v>6</v>
      </c>
      <c r="F30" s="1">
        <v>1</v>
      </c>
      <c r="G30" s="11">
        <v>1</v>
      </c>
      <c r="H30" s="11">
        <v>10</v>
      </c>
      <c r="I30" s="1">
        <v>10</v>
      </c>
      <c r="J30" s="1">
        <v>10</v>
      </c>
      <c r="K30" s="8">
        <f t="shared" si="1"/>
        <v>0</v>
      </c>
    </row>
    <row r="31" spans="1:18" x14ac:dyDescent="0.4">
      <c r="A31" s="1" t="s">
        <v>12</v>
      </c>
      <c r="B31" s="1" t="s">
        <v>18</v>
      </c>
      <c r="C31" s="1" t="s">
        <v>19</v>
      </c>
      <c r="D31" s="1" t="s">
        <v>6</v>
      </c>
      <c r="F31" s="1">
        <v>2</v>
      </c>
      <c r="G31" s="11">
        <v>11</v>
      </c>
      <c r="H31" s="11">
        <v>20</v>
      </c>
      <c r="I31" s="1">
        <v>140</v>
      </c>
      <c r="J31" s="1">
        <v>140</v>
      </c>
      <c r="K31" s="8">
        <f t="shared" si="1"/>
        <v>0</v>
      </c>
    </row>
    <row r="32" spans="1:18" x14ac:dyDescent="0.4">
      <c r="A32" s="1" t="s">
        <v>12</v>
      </c>
      <c r="B32" s="1" t="s">
        <v>18</v>
      </c>
      <c r="C32" s="1" t="s">
        <v>19</v>
      </c>
      <c r="D32" s="1" t="s">
        <v>6</v>
      </c>
      <c r="F32" s="1">
        <v>3</v>
      </c>
      <c r="G32" s="11">
        <v>21</v>
      </c>
      <c r="H32" s="11">
        <v>50</v>
      </c>
      <c r="I32" s="1">
        <v>220</v>
      </c>
      <c r="J32" s="1">
        <v>220</v>
      </c>
      <c r="K32" s="8">
        <f t="shared" si="1"/>
        <v>0</v>
      </c>
    </row>
    <row r="33" spans="1:11" x14ac:dyDescent="0.4">
      <c r="A33" s="1" t="s">
        <v>12</v>
      </c>
      <c r="B33" s="1" t="s">
        <v>18</v>
      </c>
      <c r="C33" s="1" t="s">
        <v>19</v>
      </c>
      <c r="D33" s="1" t="s">
        <v>6</v>
      </c>
      <c r="F33" s="1">
        <v>4</v>
      </c>
      <c r="G33" s="11">
        <v>51</v>
      </c>
      <c r="H33" s="11">
        <v>100</v>
      </c>
      <c r="I33" s="1">
        <v>310</v>
      </c>
      <c r="J33" s="1">
        <v>310</v>
      </c>
      <c r="K33" s="8">
        <f t="shared" si="1"/>
        <v>0</v>
      </c>
    </row>
    <row r="34" spans="1:11" x14ac:dyDescent="0.4">
      <c r="A34" s="1" t="s">
        <v>12</v>
      </c>
      <c r="B34" s="1" t="s">
        <v>18</v>
      </c>
      <c r="C34" s="1" t="s">
        <v>19</v>
      </c>
      <c r="D34" s="1" t="s">
        <v>6</v>
      </c>
      <c r="F34" s="1">
        <v>5</v>
      </c>
      <c r="G34" s="11">
        <v>101</v>
      </c>
      <c r="H34" s="11"/>
      <c r="I34" s="1">
        <v>350</v>
      </c>
      <c r="J34" s="1">
        <v>350</v>
      </c>
      <c r="K34" s="8">
        <f t="shared" si="1"/>
        <v>0</v>
      </c>
    </row>
  </sheetData>
  <sheetProtection sheet="1" objects="1" scenario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B9D4-9D0D-4717-A86F-3F7065FEA238}">
  <dimension ref="B1:AV25"/>
  <sheetViews>
    <sheetView showGridLines="0" tabSelected="1" view="pageBreakPreview" zoomScaleNormal="100" zoomScaleSheetLayoutView="100" workbookViewId="0">
      <selection activeCell="T9" sqref="T9"/>
    </sheetView>
  </sheetViews>
  <sheetFormatPr defaultRowHeight="14.4" outlineLevelCol="1" x14ac:dyDescent="0.5"/>
  <cols>
    <col min="1" max="1" width="0.7265625" style="12" customWidth="1"/>
    <col min="2" max="3" width="0.90625" style="12" customWidth="1"/>
    <col min="4" max="5" width="6.6328125" style="12" customWidth="1"/>
    <col min="6" max="6" width="0.90625" style="12" customWidth="1"/>
    <col min="7" max="8" width="0.81640625" style="12" customWidth="1"/>
    <col min="9" max="9" width="5.90625" style="12" customWidth="1"/>
    <col min="10" max="10" width="10" style="12" customWidth="1"/>
    <col min="11" max="12" width="0.81640625" style="12" customWidth="1"/>
    <col min="13" max="13" width="6.36328125" style="12" customWidth="1"/>
    <col min="14" max="14" width="10.1796875" style="12" customWidth="1"/>
    <col min="15" max="16" width="0.7265625" style="12" customWidth="1"/>
    <col min="17" max="17" width="6.90625" style="12" customWidth="1"/>
    <col min="18" max="18" width="9.453125" style="12" customWidth="1"/>
    <col min="19" max="19" width="2.54296875" style="12" customWidth="1"/>
    <col min="20" max="20" width="9.453125" style="12" customWidth="1"/>
    <col min="21" max="21" width="2.54296875" style="12" customWidth="1"/>
    <col min="22" max="22" width="13.1796875" style="12" customWidth="1"/>
    <col min="23" max="23" width="2.54296875" style="12" customWidth="1"/>
    <col min="24" max="24" width="6.7265625" style="12" customWidth="1"/>
    <col min="25" max="25" width="2.54296875" style="12" customWidth="1"/>
    <col min="26" max="26" width="13.1796875" style="12" customWidth="1"/>
    <col min="27" max="27" width="0.90625" style="12" customWidth="1"/>
    <col min="28" max="28" width="1.36328125" style="12" customWidth="1"/>
    <col min="29" max="29" width="1.90625" style="17" customWidth="1"/>
    <col min="30" max="30" width="1.453125" style="17" customWidth="1"/>
    <col min="31" max="33" width="8.453125" style="12" customWidth="1"/>
    <col min="34" max="34" width="1.453125" style="12" customWidth="1"/>
    <col min="35" max="37" width="8.453125" style="12" customWidth="1"/>
    <col min="38" max="38" width="1.453125" style="12" customWidth="1"/>
    <col min="39" max="41" width="8.453125" style="12" customWidth="1"/>
    <col min="42" max="42" width="0.90625" style="12" customWidth="1"/>
    <col min="43" max="43" width="1.6328125" style="12" customWidth="1"/>
    <col min="44" max="44" width="4.08984375" style="12" hidden="1" customWidth="1" outlineLevel="1"/>
    <col min="45" max="47" width="8.7265625" style="12" hidden="1" customWidth="1" outlineLevel="1"/>
    <col min="48" max="48" width="8.7265625" style="12" collapsed="1"/>
    <col min="49" max="16384" width="8.7265625" style="12"/>
  </cols>
  <sheetData>
    <row r="1" spans="2:47" ht="22.15" customHeight="1" x14ac:dyDescent="0.5">
      <c r="D1" s="98" t="s">
        <v>64</v>
      </c>
      <c r="E1" s="98"/>
      <c r="Z1" s="99">
        <v>45658</v>
      </c>
      <c r="AE1" s="98" t="s">
        <v>63</v>
      </c>
    </row>
    <row r="2" spans="2:47" x14ac:dyDescent="0.5">
      <c r="D2" s="12" t="s">
        <v>61</v>
      </c>
      <c r="AE2" s="12" t="s">
        <v>61</v>
      </c>
    </row>
    <row r="3" spans="2:47" ht="16.649999999999999" x14ac:dyDescent="0.5">
      <c r="B3" s="103"/>
      <c r="C3" s="103"/>
      <c r="D3" s="186" t="s">
        <v>49</v>
      </c>
      <c r="E3" s="187"/>
      <c r="F3" s="103"/>
      <c r="G3" s="104"/>
      <c r="H3" s="45"/>
      <c r="I3" s="77" t="s">
        <v>48</v>
      </c>
      <c r="J3" s="78"/>
      <c r="K3" s="60"/>
      <c r="L3" s="60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17"/>
      <c r="AD3" s="91"/>
      <c r="AE3" s="124" t="s">
        <v>9</v>
      </c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</row>
    <row r="4" spans="2:47" ht="16.100000000000001" customHeight="1" x14ac:dyDescent="0.5">
      <c r="B4" s="103"/>
      <c r="C4" s="30"/>
      <c r="D4" s="44"/>
      <c r="E4" s="44"/>
      <c r="F4" s="30"/>
      <c r="G4" s="103"/>
      <c r="H4" s="45"/>
      <c r="I4" s="60"/>
      <c r="J4" s="60"/>
      <c r="K4" s="60"/>
      <c r="L4" s="66"/>
      <c r="M4" s="69" t="s">
        <v>9</v>
      </c>
      <c r="N4" s="70"/>
      <c r="O4" s="70"/>
      <c r="P4" s="70"/>
      <c r="Q4" s="48"/>
      <c r="R4" s="48"/>
      <c r="S4" s="48"/>
      <c r="T4" s="48"/>
      <c r="U4" s="48"/>
      <c r="V4" s="48"/>
      <c r="W4" s="48"/>
      <c r="X4" s="48"/>
      <c r="Y4" s="48"/>
      <c r="Z4" s="48"/>
      <c r="AA4" s="45"/>
      <c r="AD4" s="91"/>
      <c r="AE4" s="115" t="s">
        <v>62</v>
      </c>
      <c r="AF4" s="115"/>
      <c r="AG4" s="115"/>
      <c r="AH4" s="95"/>
      <c r="AI4" s="95"/>
      <c r="AJ4" s="96" t="s">
        <v>65</v>
      </c>
      <c r="AK4" s="95"/>
      <c r="AL4" s="95"/>
      <c r="AM4" s="95"/>
      <c r="AN4" s="96" t="s">
        <v>66</v>
      </c>
      <c r="AO4" s="95"/>
      <c r="AP4" s="91"/>
      <c r="AS4" s="13"/>
    </row>
    <row r="5" spans="2:47" ht="16.100000000000001" customHeight="1" thickBot="1" x14ac:dyDescent="0.45">
      <c r="B5" s="103"/>
      <c r="C5" s="30"/>
      <c r="D5" s="20"/>
      <c r="E5" s="20"/>
      <c r="F5" s="30"/>
      <c r="G5" s="105"/>
      <c r="H5" s="78"/>
      <c r="I5" s="73" t="s">
        <v>58</v>
      </c>
      <c r="J5" s="73"/>
      <c r="K5" s="45"/>
      <c r="L5" s="48"/>
      <c r="M5" s="55"/>
      <c r="N5" s="48"/>
      <c r="O5" s="48"/>
      <c r="P5" s="39"/>
      <c r="Q5" s="183" t="s">
        <v>39</v>
      </c>
      <c r="R5" s="27"/>
      <c r="S5" s="27"/>
      <c r="T5" s="27"/>
      <c r="U5" s="39"/>
      <c r="V5" s="27"/>
      <c r="W5" s="27"/>
      <c r="X5" s="27"/>
      <c r="Y5" s="39"/>
      <c r="Z5" s="27"/>
      <c r="AA5" s="78"/>
      <c r="AB5" s="3"/>
      <c r="AD5" s="91"/>
      <c r="AE5" s="3" t="s">
        <v>32</v>
      </c>
      <c r="AF5" s="3" t="s">
        <v>7</v>
      </c>
      <c r="AG5" s="3" t="s">
        <v>33</v>
      </c>
      <c r="AH5" s="147"/>
      <c r="AI5" s="3" t="s">
        <v>24</v>
      </c>
      <c r="AJ5" s="3" t="s">
        <v>7</v>
      </c>
      <c r="AK5" s="3" t="s">
        <v>33</v>
      </c>
      <c r="AL5" s="147"/>
      <c r="AM5" s="3" t="s">
        <v>24</v>
      </c>
      <c r="AN5" s="3" t="s">
        <v>7</v>
      </c>
      <c r="AO5" s="3" t="s">
        <v>33</v>
      </c>
      <c r="AP5" s="92"/>
      <c r="AQ5" s="3"/>
      <c r="AR5" s="3" t="s">
        <v>31</v>
      </c>
      <c r="AS5" s="12" t="s">
        <v>47</v>
      </c>
      <c r="AT5" s="1" t="s">
        <v>20</v>
      </c>
      <c r="AU5" s="1" t="s">
        <v>21</v>
      </c>
    </row>
    <row r="6" spans="2:47" ht="16.100000000000001" customHeight="1" x14ac:dyDescent="0.5">
      <c r="B6" s="103"/>
      <c r="C6" s="30"/>
      <c r="D6" s="108" t="s">
        <v>41</v>
      </c>
      <c r="E6" s="109"/>
      <c r="F6" s="30"/>
      <c r="G6" s="106"/>
      <c r="H6" s="46"/>
      <c r="I6" s="170" t="s">
        <v>7</v>
      </c>
      <c r="J6" s="171">
        <f ca="1">SUM(N7,N19)</f>
        <v>9592</v>
      </c>
      <c r="K6" s="62"/>
      <c r="L6" s="67"/>
      <c r="M6" s="184" t="s">
        <v>59</v>
      </c>
      <c r="N6" s="185"/>
      <c r="O6" s="71"/>
      <c r="P6" s="50"/>
      <c r="Q6" s="43"/>
      <c r="R6" s="156" t="s">
        <v>0</v>
      </c>
      <c r="S6" s="27"/>
      <c r="T6" s="31" t="s">
        <v>23</v>
      </c>
      <c r="U6" s="39"/>
      <c r="V6" s="32" t="s">
        <v>51</v>
      </c>
      <c r="W6" s="29"/>
      <c r="X6" s="31" t="s">
        <v>50</v>
      </c>
      <c r="Y6" s="39"/>
      <c r="Z6" s="32" t="s">
        <v>52</v>
      </c>
      <c r="AA6" s="79"/>
      <c r="AB6" s="3"/>
      <c r="AD6" s="91"/>
      <c r="AE6" s="121" t="s">
        <v>25</v>
      </c>
      <c r="AF6" s="122">
        <f>SUMIFS(料金表!I:I,料金表!$A:$A,$AS6,料金表!$C:$C,$AU6,料金表!$F:$F,$AR6)</f>
        <v>28</v>
      </c>
      <c r="AG6" s="122">
        <f>SUMIFS(料金表!J:J,料金表!$A:$A,$AS6,料金表!$C:$C,$AU6,料金表!$F:$F,$AR6)</f>
        <v>57</v>
      </c>
      <c r="AH6" s="97"/>
      <c r="AI6" s="123">
        <f>IF(E$11&gt;10,10,E$11)</f>
        <v>10</v>
      </c>
      <c r="AJ6" s="122">
        <f>AI6*$AF6</f>
        <v>280</v>
      </c>
      <c r="AK6" s="122">
        <f>AI6*$AG6</f>
        <v>570</v>
      </c>
      <c r="AL6" s="97"/>
      <c r="AM6" s="123">
        <f>IF(E$12&gt;10,10,E$12)</f>
        <v>10</v>
      </c>
      <c r="AN6" s="122">
        <f>AM6*$AF6</f>
        <v>280</v>
      </c>
      <c r="AO6" s="122">
        <f>AM6*$AG6</f>
        <v>570</v>
      </c>
      <c r="AP6" s="93"/>
      <c r="AQ6" s="15"/>
      <c r="AR6" s="12">
        <v>1</v>
      </c>
      <c r="AS6" s="12" t="s">
        <v>9</v>
      </c>
      <c r="AT6" s="12" t="s">
        <v>9</v>
      </c>
      <c r="AU6" s="12" t="s">
        <v>1</v>
      </c>
    </row>
    <row r="7" spans="2:47" ht="16.100000000000001" customHeight="1" thickBot="1" x14ac:dyDescent="0.55000000000000004">
      <c r="B7" s="103"/>
      <c r="C7" s="30"/>
      <c r="D7" s="190">
        <v>20</v>
      </c>
      <c r="E7" s="191"/>
      <c r="F7" s="30"/>
      <c r="G7" s="103"/>
      <c r="H7" s="45"/>
      <c r="I7" s="172" t="s">
        <v>33</v>
      </c>
      <c r="J7" s="173">
        <f ca="1">SUM(N8,N19)</f>
        <v>10560</v>
      </c>
      <c r="K7" s="63"/>
      <c r="L7" s="68"/>
      <c r="M7" s="179" t="s">
        <v>7</v>
      </c>
      <c r="N7" s="176">
        <f ca="1">SUM(Z7,Z12)</f>
        <v>5038</v>
      </c>
      <c r="O7" s="68"/>
      <c r="P7" s="28"/>
      <c r="Q7" s="154" t="s">
        <v>7</v>
      </c>
      <c r="R7" s="157">
        <f ca="1">OFFSET(料金表!I$1,MATCH($D$7,料金表!$E:$E,0)-1,0)</f>
        <v>1450</v>
      </c>
      <c r="S7" s="151" t="s">
        <v>34</v>
      </c>
      <c r="T7" s="152">
        <f>AJ11</f>
        <v>840</v>
      </c>
      <c r="U7" s="151" t="s">
        <v>35</v>
      </c>
      <c r="V7" s="152">
        <f ca="1">SUM(R7,T7)</f>
        <v>2290</v>
      </c>
      <c r="W7" s="153" t="s">
        <v>53</v>
      </c>
      <c r="X7" s="154" t="s">
        <v>36</v>
      </c>
      <c r="Y7" s="151" t="s">
        <v>35</v>
      </c>
      <c r="Z7" s="152">
        <f ca="1">ROUNDDOWN(V7*1.1,0)</f>
        <v>2519</v>
      </c>
      <c r="AA7" s="61"/>
      <c r="AB7" s="15"/>
      <c r="AD7" s="91"/>
      <c r="AE7" s="83" t="s">
        <v>26</v>
      </c>
      <c r="AF7" s="84">
        <f>SUMIFS(料金表!I:I,料金表!$A:$A,$AS7,料金表!$C:$C,$AU7,料金表!$F:$F,$AR7)</f>
        <v>56</v>
      </c>
      <c r="AG7" s="84">
        <f>SUMIFS(料金表!J:J,料金表!$A:$A,$AS7,料金表!$C:$C,$AU7,料金表!$F:$F,$AR7)</f>
        <v>85</v>
      </c>
      <c r="AH7" s="97"/>
      <c r="AI7" s="85">
        <f>IF(E$11&gt;20,10,E$11-SUM(AI$6:AI6))</f>
        <v>10</v>
      </c>
      <c r="AJ7" s="84">
        <f t="shared" ref="AJ7:AJ10" si="0">AI7*$AF7</f>
        <v>560</v>
      </c>
      <c r="AK7" s="84">
        <f t="shared" ref="AK7:AK10" si="1">AI7*$AG7</f>
        <v>850</v>
      </c>
      <c r="AL7" s="97"/>
      <c r="AM7" s="85">
        <f>IF(E$12&gt;20,10,E$12-SUM(AM$6:AM6))</f>
        <v>10</v>
      </c>
      <c r="AN7" s="84">
        <f t="shared" ref="AN7:AN10" si="2">AM7*$AF7</f>
        <v>560</v>
      </c>
      <c r="AO7" s="84">
        <f t="shared" ref="AO7:AO10" si="3">AM7*$AG7</f>
        <v>850</v>
      </c>
      <c r="AP7" s="93"/>
      <c r="AQ7" s="15"/>
      <c r="AR7" s="12">
        <v>2</v>
      </c>
      <c r="AS7" s="12" t="s">
        <v>9</v>
      </c>
      <c r="AT7" s="12" t="s">
        <v>9</v>
      </c>
      <c r="AU7" s="12" t="s">
        <v>1</v>
      </c>
    </row>
    <row r="8" spans="2:47" ht="16.100000000000001" customHeight="1" thickBot="1" x14ac:dyDescent="0.55000000000000004">
      <c r="B8" s="103"/>
      <c r="C8" s="30"/>
      <c r="D8" s="20"/>
      <c r="E8" s="20"/>
      <c r="F8" s="30"/>
      <c r="G8" s="103"/>
      <c r="H8" s="45"/>
      <c r="I8" s="174" t="s">
        <v>14</v>
      </c>
      <c r="J8" s="175">
        <f ca="1">J7-J6</f>
        <v>968</v>
      </c>
      <c r="K8" s="63"/>
      <c r="L8" s="68"/>
      <c r="M8" s="180" t="s">
        <v>33</v>
      </c>
      <c r="N8" s="177">
        <f ca="1">SUM(Z8,Z13)</f>
        <v>6006</v>
      </c>
      <c r="O8" s="68"/>
      <c r="P8" s="28"/>
      <c r="Q8" s="34" t="s">
        <v>33</v>
      </c>
      <c r="R8" s="158">
        <f ca="1">OFFSET(料金表!J$1,MATCH($D$7,料金表!$E:$E,0)-1,0)</f>
        <v>1310</v>
      </c>
      <c r="S8" s="37" t="s">
        <v>34</v>
      </c>
      <c r="T8" s="33">
        <f>AK11</f>
        <v>1420</v>
      </c>
      <c r="U8" s="37" t="s">
        <v>35</v>
      </c>
      <c r="V8" s="33">
        <f ca="1">SUM(R8,T8)</f>
        <v>2730</v>
      </c>
      <c r="W8" s="53" t="s">
        <v>54</v>
      </c>
      <c r="X8" s="34" t="s">
        <v>36</v>
      </c>
      <c r="Y8" s="37" t="s">
        <v>35</v>
      </c>
      <c r="Z8" s="33">
        <f ca="1">ROUNDDOWN(V8*1.1,0)</f>
        <v>3003</v>
      </c>
      <c r="AA8" s="61"/>
      <c r="AB8" s="15"/>
      <c r="AD8" s="91"/>
      <c r="AE8" s="83" t="s">
        <v>27</v>
      </c>
      <c r="AF8" s="84">
        <f>SUMIFS(料金表!I:I,料金表!$A:$A,$AS8,料金表!$C:$C,$AU8,料金表!$F:$F,$AR8)</f>
        <v>92</v>
      </c>
      <c r="AG8" s="84">
        <f>SUMIFS(料金表!J:J,料金表!$A:$A,$AS8,料金表!$C:$C,$AU8,料金表!$F:$F,$AR8)</f>
        <v>121</v>
      </c>
      <c r="AH8" s="97"/>
      <c r="AI8" s="85">
        <f>IF(E$11&gt;50,30,E$11-SUM(AI$6:AI7))</f>
        <v>0</v>
      </c>
      <c r="AJ8" s="84">
        <f t="shared" si="0"/>
        <v>0</v>
      </c>
      <c r="AK8" s="84">
        <f t="shared" si="1"/>
        <v>0</v>
      </c>
      <c r="AL8" s="97"/>
      <c r="AM8" s="85">
        <f>IF(E$12&gt;50,30,E$12-SUM(AM$6:AM7))</f>
        <v>0</v>
      </c>
      <c r="AN8" s="84">
        <f t="shared" si="2"/>
        <v>0</v>
      </c>
      <c r="AO8" s="84">
        <f t="shared" si="3"/>
        <v>0</v>
      </c>
      <c r="AP8" s="93"/>
      <c r="AQ8" s="15"/>
      <c r="AR8" s="12">
        <v>3</v>
      </c>
      <c r="AS8" s="12" t="s">
        <v>9</v>
      </c>
      <c r="AT8" s="12" t="s">
        <v>9</v>
      </c>
      <c r="AU8" s="12" t="s">
        <v>1</v>
      </c>
    </row>
    <row r="9" spans="2:47" ht="16.100000000000001" customHeight="1" x14ac:dyDescent="0.5">
      <c r="B9" s="103"/>
      <c r="C9" s="30"/>
      <c r="D9" s="108" t="s">
        <v>42</v>
      </c>
      <c r="E9" s="109"/>
      <c r="F9" s="30"/>
      <c r="G9" s="107"/>
      <c r="H9" s="72"/>
      <c r="I9" s="72"/>
      <c r="J9" s="45"/>
      <c r="K9" s="63"/>
      <c r="L9" s="68"/>
      <c r="M9" s="181" t="s">
        <v>14</v>
      </c>
      <c r="N9" s="178">
        <f ca="1">N8-N7</f>
        <v>968</v>
      </c>
      <c r="O9" s="68"/>
      <c r="P9" s="28"/>
      <c r="Q9" s="52" t="s">
        <v>14</v>
      </c>
      <c r="R9" s="159">
        <f ca="1">R8-R7</f>
        <v>-140</v>
      </c>
      <c r="S9" s="38"/>
      <c r="T9" s="35">
        <f>T8-T7</f>
        <v>580</v>
      </c>
      <c r="U9" s="38"/>
      <c r="V9" s="35">
        <f ca="1">V8-V7</f>
        <v>440</v>
      </c>
      <c r="W9" s="54"/>
      <c r="X9" s="36"/>
      <c r="Y9" s="38"/>
      <c r="Z9" s="35">
        <f ca="1">Z8-Z7</f>
        <v>484</v>
      </c>
      <c r="AA9" s="61"/>
      <c r="AB9" s="15"/>
      <c r="AD9" s="91"/>
      <c r="AE9" s="83" t="s">
        <v>28</v>
      </c>
      <c r="AF9" s="84">
        <f>SUMIFS(料金表!I:I,料金表!$A:$A,$AS9,料金表!$C:$C,$AU9,料金表!$F:$F,$AR9)</f>
        <v>160</v>
      </c>
      <c r="AG9" s="84">
        <f>SUMIFS(料金表!J:J,料金表!$A:$A,$AS9,料金表!$C:$C,$AU9,料金表!$F:$F,$AR9)</f>
        <v>189</v>
      </c>
      <c r="AH9" s="97"/>
      <c r="AI9" s="85">
        <f>IF(E$11&gt;100,50,E$11-SUM(AI$6:AI8))</f>
        <v>0</v>
      </c>
      <c r="AJ9" s="84">
        <f t="shared" si="0"/>
        <v>0</v>
      </c>
      <c r="AK9" s="84">
        <f t="shared" si="1"/>
        <v>0</v>
      </c>
      <c r="AL9" s="97"/>
      <c r="AM9" s="85">
        <f>IF(E$12&gt;100,50,E$12-SUM(AM$6:AM8))</f>
        <v>0</v>
      </c>
      <c r="AN9" s="84">
        <f t="shared" si="2"/>
        <v>0</v>
      </c>
      <c r="AO9" s="84">
        <f t="shared" si="3"/>
        <v>0</v>
      </c>
      <c r="AP9" s="93"/>
      <c r="AQ9" s="15"/>
      <c r="AR9" s="12">
        <v>4</v>
      </c>
      <c r="AS9" s="12" t="s">
        <v>9</v>
      </c>
      <c r="AT9" s="12" t="s">
        <v>9</v>
      </c>
      <c r="AU9" s="12" t="s">
        <v>1</v>
      </c>
    </row>
    <row r="10" spans="2:47" ht="16.100000000000001" customHeight="1" x14ac:dyDescent="0.5">
      <c r="B10" s="103"/>
      <c r="C10" s="30"/>
      <c r="D10" s="110" t="s">
        <v>43</v>
      </c>
      <c r="E10" s="143">
        <v>40</v>
      </c>
      <c r="F10" s="30"/>
      <c r="G10" s="107"/>
      <c r="H10" s="72"/>
      <c r="I10" s="72"/>
      <c r="J10" s="45"/>
      <c r="K10" s="45"/>
      <c r="L10" s="48"/>
      <c r="M10" s="55"/>
      <c r="N10" s="48"/>
      <c r="O10" s="48"/>
      <c r="P10" s="39"/>
      <c r="Q10" s="183" t="s">
        <v>40</v>
      </c>
      <c r="R10" s="27"/>
      <c r="S10" s="27"/>
      <c r="T10" s="27"/>
      <c r="U10" s="39"/>
      <c r="V10" s="27"/>
      <c r="W10" s="27"/>
      <c r="X10" s="27"/>
      <c r="Y10" s="39"/>
      <c r="Z10" s="27"/>
      <c r="AA10" s="78"/>
      <c r="AB10" s="13"/>
      <c r="AD10" s="91"/>
      <c r="AE10" s="86" t="s">
        <v>29</v>
      </c>
      <c r="AF10" s="87">
        <f>SUMIFS(料金表!I:I,料金表!$A:$A,$AS10,料金表!$C:$C,$AU10,料金表!$F:$F,$AR10)</f>
        <v>240</v>
      </c>
      <c r="AG10" s="87">
        <f>SUMIFS(料金表!J:J,料金表!$A:$A,$AS10,料金表!$C:$C,$AU10,料金表!$F:$F,$AR10)</f>
        <v>269</v>
      </c>
      <c r="AH10" s="97"/>
      <c r="AI10" s="88">
        <f>IF(E$11&gt;100,E$11-SUM(AI$6:AI9),0)</f>
        <v>0</v>
      </c>
      <c r="AJ10" s="87">
        <f t="shared" si="0"/>
        <v>0</v>
      </c>
      <c r="AK10" s="87">
        <f t="shared" si="1"/>
        <v>0</v>
      </c>
      <c r="AL10" s="97"/>
      <c r="AM10" s="88">
        <f>IF(E$12&gt;100,E$12-SUM(AM$6:AM9),0)</f>
        <v>0</v>
      </c>
      <c r="AN10" s="87">
        <f t="shared" si="2"/>
        <v>0</v>
      </c>
      <c r="AO10" s="87">
        <f t="shared" si="3"/>
        <v>0</v>
      </c>
      <c r="AP10" s="93"/>
      <c r="AQ10" s="15"/>
      <c r="AR10" s="12">
        <v>5</v>
      </c>
      <c r="AS10" s="12" t="s">
        <v>9</v>
      </c>
      <c r="AT10" s="12" t="s">
        <v>9</v>
      </c>
      <c r="AU10" s="12" t="s">
        <v>1</v>
      </c>
    </row>
    <row r="11" spans="2:47" ht="16.100000000000001" customHeight="1" x14ac:dyDescent="0.5">
      <c r="B11" s="103"/>
      <c r="C11" s="30"/>
      <c r="D11" s="111" t="s">
        <v>44</v>
      </c>
      <c r="E11" s="113">
        <f>ROUND(E10/2,0)</f>
        <v>20</v>
      </c>
      <c r="F11" s="30"/>
      <c r="G11" s="103"/>
      <c r="H11" s="45"/>
      <c r="I11" s="45"/>
      <c r="J11" s="45"/>
      <c r="K11" s="45"/>
      <c r="L11" s="48"/>
      <c r="M11" s="55"/>
      <c r="N11" s="48"/>
      <c r="O11" s="48"/>
      <c r="P11" s="39"/>
      <c r="Q11" s="18"/>
      <c r="R11" s="156" t="s">
        <v>0</v>
      </c>
      <c r="S11" s="27"/>
      <c r="T11" s="31" t="s">
        <v>23</v>
      </c>
      <c r="U11" s="39"/>
      <c r="V11" s="32" t="s">
        <v>51</v>
      </c>
      <c r="W11" s="29"/>
      <c r="X11" s="31" t="s">
        <v>50</v>
      </c>
      <c r="Y11" s="39"/>
      <c r="Z11" s="32" t="s">
        <v>52</v>
      </c>
      <c r="AA11" s="79"/>
      <c r="AB11" s="3"/>
      <c r="AD11" s="91"/>
      <c r="AE11" s="117" t="s">
        <v>30</v>
      </c>
      <c r="AF11" s="118"/>
      <c r="AG11" s="118"/>
      <c r="AH11" s="116"/>
      <c r="AI11" s="119">
        <f>SUM(AI6:AI10)</f>
        <v>20</v>
      </c>
      <c r="AJ11" s="120">
        <f>SUM(AJ6:AJ10)</f>
        <v>840</v>
      </c>
      <c r="AK11" s="120">
        <f>SUM(AK6:AK10)</f>
        <v>1420</v>
      </c>
      <c r="AL11" s="116"/>
      <c r="AM11" s="119">
        <f>SUM(AM6:AM10)</f>
        <v>20</v>
      </c>
      <c r="AN11" s="120">
        <f>SUM(AN6:AN10)</f>
        <v>840</v>
      </c>
      <c r="AO11" s="120">
        <f>SUM(AO6:AO10)</f>
        <v>1420</v>
      </c>
      <c r="AP11" s="93"/>
      <c r="AQ11" s="15"/>
    </row>
    <row r="12" spans="2:47" ht="16.100000000000001" customHeight="1" thickBot="1" x14ac:dyDescent="0.55000000000000004">
      <c r="B12" s="103"/>
      <c r="C12" s="30"/>
      <c r="D12" s="112" t="s">
        <v>45</v>
      </c>
      <c r="E12" s="114">
        <f>E10-E11</f>
        <v>20</v>
      </c>
      <c r="F12" s="30"/>
      <c r="G12" s="103"/>
      <c r="H12" s="45"/>
      <c r="I12" s="45"/>
      <c r="J12" s="45"/>
      <c r="K12" s="45"/>
      <c r="L12" s="48"/>
      <c r="M12" s="56"/>
      <c r="N12" s="49"/>
      <c r="O12" s="49"/>
      <c r="P12" s="51"/>
      <c r="Q12" s="155" t="s">
        <v>7</v>
      </c>
      <c r="R12" s="157">
        <f ca="1">OFFSET(料金表!I$1,MATCH($D$7,料金表!$E:$E,0)-1,0)</f>
        <v>1450</v>
      </c>
      <c r="S12" s="151" t="s">
        <v>34</v>
      </c>
      <c r="T12" s="152">
        <f>AN11</f>
        <v>840</v>
      </c>
      <c r="U12" s="151" t="s">
        <v>35</v>
      </c>
      <c r="V12" s="152">
        <f ca="1">SUM(R12,T12)</f>
        <v>2290</v>
      </c>
      <c r="W12" s="153" t="s">
        <v>53</v>
      </c>
      <c r="X12" s="154">
        <v>1.1000000000000001</v>
      </c>
      <c r="Y12" s="151" t="s">
        <v>35</v>
      </c>
      <c r="Z12" s="152">
        <f t="shared" ref="Z12:Z13" ca="1" si="4">ROUNDDOWN(V12*1.1,0)</f>
        <v>2519</v>
      </c>
      <c r="AA12" s="61"/>
      <c r="AB12" s="3"/>
      <c r="AD12" s="91"/>
      <c r="AE12" s="3"/>
      <c r="AH12" s="39"/>
      <c r="AI12" s="14"/>
      <c r="AJ12" s="15"/>
      <c r="AK12" s="15"/>
      <c r="AL12" s="39"/>
      <c r="AM12" s="14"/>
      <c r="AN12" s="15"/>
      <c r="AO12" s="15"/>
      <c r="AP12" s="94"/>
      <c r="AQ12" s="15"/>
    </row>
    <row r="13" spans="2:47" ht="16.100000000000001" customHeight="1" thickBot="1" x14ac:dyDescent="0.55000000000000004">
      <c r="B13" s="103"/>
      <c r="C13" s="30"/>
      <c r="D13" s="19"/>
      <c r="E13" s="82"/>
      <c r="F13" s="30"/>
      <c r="G13" s="103"/>
      <c r="H13" s="45"/>
      <c r="I13" s="45"/>
      <c r="J13" s="45"/>
      <c r="K13" s="45"/>
      <c r="L13" s="48"/>
      <c r="M13" s="55"/>
      <c r="N13" s="48"/>
      <c r="O13" s="48"/>
      <c r="P13" s="39"/>
      <c r="Q13" s="26" t="s">
        <v>33</v>
      </c>
      <c r="R13" s="158">
        <f ca="1">OFFSET(料金表!J$1,MATCH($D$7,料金表!$E:$E,0)-1,0)</f>
        <v>1310</v>
      </c>
      <c r="S13" s="37" t="s">
        <v>34</v>
      </c>
      <c r="T13" s="33">
        <f>AO11</f>
        <v>1420</v>
      </c>
      <c r="U13" s="37" t="s">
        <v>35</v>
      </c>
      <c r="V13" s="33">
        <f ca="1">SUM(R13,T13)</f>
        <v>2730</v>
      </c>
      <c r="W13" s="53" t="s">
        <v>54</v>
      </c>
      <c r="X13" s="34">
        <v>1.1000000000000001</v>
      </c>
      <c r="Y13" s="37" t="s">
        <v>35</v>
      </c>
      <c r="Z13" s="33">
        <f t="shared" ca="1" si="4"/>
        <v>3003</v>
      </c>
      <c r="AA13" s="61"/>
      <c r="AB13" s="15"/>
      <c r="AD13" s="57"/>
      <c r="AE13" s="19"/>
      <c r="AF13" s="20"/>
      <c r="AG13" s="20"/>
      <c r="AH13" s="39"/>
      <c r="AI13" s="142"/>
      <c r="AJ13" s="21"/>
      <c r="AK13" s="21"/>
      <c r="AL13" s="39"/>
      <c r="AM13" s="142"/>
      <c r="AN13" s="21"/>
      <c r="AO13" s="21"/>
      <c r="AP13" s="136"/>
      <c r="AQ13" s="15"/>
    </row>
    <row r="14" spans="2:47" ht="16.100000000000001" customHeight="1" thickTop="1" thickBot="1" x14ac:dyDescent="0.55000000000000004">
      <c r="B14" s="103"/>
      <c r="C14" s="30"/>
      <c r="D14" s="108" t="s">
        <v>37</v>
      </c>
      <c r="E14" s="109"/>
      <c r="F14" s="30"/>
      <c r="G14" s="103"/>
      <c r="H14" s="45"/>
      <c r="I14" s="45"/>
      <c r="J14" s="45"/>
      <c r="K14" s="45"/>
      <c r="L14" s="48"/>
      <c r="M14" s="55"/>
      <c r="N14" s="48"/>
      <c r="O14" s="48"/>
      <c r="P14" s="39"/>
      <c r="Q14" s="59" t="s">
        <v>14</v>
      </c>
      <c r="R14" s="159">
        <f ca="1">R13-R12</f>
        <v>-140</v>
      </c>
      <c r="S14" s="38"/>
      <c r="T14" s="35">
        <f>T13-T12</f>
        <v>580</v>
      </c>
      <c r="U14" s="38"/>
      <c r="V14" s="35">
        <f ca="1">V13-V12</f>
        <v>440</v>
      </c>
      <c r="W14" s="54"/>
      <c r="X14" s="36"/>
      <c r="Y14" s="38"/>
      <c r="Z14" s="35">
        <f ca="1">Z13-Z12</f>
        <v>484</v>
      </c>
      <c r="AA14" s="61"/>
      <c r="AB14" s="15"/>
      <c r="AD14" s="57"/>
      <c r="AE14" s="132"/>
      <c r="AF14" s="133"/>
      <c r="AG14" s="133"/>
      <c r="AH14" s="58"/>
      <c r="AI14" s="134"/>
      <c r="AJ14" s="135"/>
      <c r="AK14" s="135"/>
      <c r="AL14" s="58"/>
      <c r="AM14" s="134"/>
      <c r="AN14" s="135"/>
      <c r="AO14" s="135"/>
      <c r="AP14" s="136"/>
      <c r="AQ14" s="15"/>
    </row>
    <row r="15" spans="2:47" ht="16.100000000000001" customHeight="1" thickTop="1" thickBot="1" x14ac:dyDescent="0.55000000000000004">
      <c r="B15" s="103"/>
      <c r="C15" s="30"/>
      <c r="D15" s="188" t="s">
        <v>16</v>
      </c>
      <c r="E15" s="189"/>
      <c r="F15" s="30"/>
      <c r="G15" s="103"/>
      <c r="H15" s="45"/>
      <c r="I15" s="45"/>
      <c r="J15" s="45"/>
      <c r="K15" s="45"/>
      <c r="L15" s="41"/>
      <c r="M15" s="100" t="s">
        <v>12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5"/>
      <c r="AD15" s="90"/>
      <c r="AE15" s="127" t="s">
        <v>12</v>
      </c>
      <c r="AF15" s="90"/>
      <c r="AG15" s="90"/>
      <c r="AH15" s="90"/>
      <c r="AI15" s="125"/>
      <c r="AJ15" s="126"/>
      <c r="AK15" s="126"/>
      <c r="AL15" s="90"/>
      <c r="AM15" s="125"/>
      <c r="AN15" s="90"/>
      <c r="AO15" s="90"/>
      <c r="AP15" s="90"/>
    </row>
    <row r="16" spans="2:47" ht="16.100000000000001" customHeight="1" x14ac:dyDescent="0.5">
      <c r="B16" s="103"/>
      <c r="C16" s="30"/>
      <c r="D16" s="20"/>
      <c r="E16" s="20"/>
      <c r="F16" s="30"/>
      <c r="G16" s="103"/>
      <c r="H16" s="45"/>
      <c r="I16" s="45"/>
      <c r="J16" s="45"/>
      <c r="K16" s="45"/>
      <c r="L16" s="41"/>
      <c r="M16" s="40"/>
      <c r="N16" s="41"/>
      <c r="O16" s="41"/>
      <c r="P16" s="41"/>
      <c r="Q16" s="40"/>
      <c r="R16" s="41"/>
      <c r="S16" s="41"/>
      <c r="T16" s="41"/>
      <c r="U16" s="41"/>
      <c r="V16" s="41"/>
      <c r="W16" s="41"/>
      <c r="X16" s="41"/>
      <c r="Y16" s="41"/>
      <c r="Z16" s="41"/>
      <c r="AA16" s="45"/>
      <c r="AD16" s="90"/>
      <c r="AE16" s="115" t="s">
        <v>62</v>
      </c>
      <c r="AF16" s="115"/>
      <c r="AG16" s="115"/>
      <c r="AH16" s="95"/>
      <c r="AI16" s="95"/>
      <c r="AJ16" s="96" t="s">
        <v>67</v>
      </c>
      <c r="AK16" s="95"/>
      <c r="AL16" s="95"/>
      <c r="AM16" s="95"/>
      <c r="AN16" s="96" t="s">
        <v>68</v>
      </c>
      <c r="AO16" s="95"/>
      <c r="AP16" s="90"/>
    </row>
    <row r="17" spans="2:47" ht="16.100000000000001" customHeight="1" x14ac:dyDescent="0.4">
      <c r="B17" s="103"/>
      <c r="C17" s="30"/>
      <c r="D17" s="20"/>
      <c r="E17" s="20"/>
      <c r="F17" s="30"/>
      <c r="G17" s="103"/>
      <c r="H17" s="45"/>
      <c r="I17" s="45"/>
      <c r="J17" s="45"/>
      <c r="K17" s="45"/>
      <c r="L17" s="41"/>
      <c r="M17" s="40"/>
      <c r="N17" s="41"/>
      <c r="O17" s="41"/>
      <c r="P17" s="39"/>
      <c r="Q17" s="183" t="s">
        <v>39</v>
      </c>
      <c r="R17" s="27"/>
      <c r="S17" s="27"/>
      <c r="T17" s="27"/>
      <c r="U17" s="39"/>
      <c r="V17" s="27"/>
      <c r="W17" s="27"/>
      <c r="X17" s="39"/>
      <c r="Y17" s="39"/>
      <c r="Z17" s="27"/>
      <c r="AA17" s="78"/>
      <c r="AB17" s="3"/>
      <c r="AD17" s="90"/>
      <c r="AE17" s="3" t="s">
        <v>32</v>
      </c>
      <c r="AF17" s="3" t="s">
        <v>7</v>
      </c>
      <c r="AG17" s="3" t="s">
        <v>33</v>
      </c>
      <c r="AH17" s="144"/>
      <c r="AI17" s="3" t="s">
        <v>38</v>
      </c>
      <c r="AJ17" s="3" t="s">
        <v>7</v>
      </c>
      <c r="AK17" s="3" t="s">
        <v>33</v>
      </c>
      <c r="AL17" s="144"/>
      <c r="AM17" s="3" t="s">
        <v>38</v>
      </c>
      <c r="AN17" s="3" t="s">
        <v>7</v>
      </c>
      <c r="AO17" s="3" t="s">
        <v>33</v>
      </c>
      <c r="AP17" s="25"/>
      <c r="AR17" s="3" t="s">
        <v>31</v>
      </c>
      <c r="AS17" s="12" t="s">
        <v>47</v>
      </c>
      <c r="AT17" s="1" t="s">
        <v>20</v>
      </c>
      <c r="AU17" s="1" t="s">
        <v>21</v>
      </c>
    </row>
    <row r="18" spans="2:47" ht="16.75" customHeight="1" x14ac:dyDescent="0.5">
      <c r="B18" s="103"/>
      <c r="C18" s="30"/>
      <c r="D18" s="20"/>
      <c r="E18" s="20"/>
      <c r="F18" s="30"/>
      <c r="G18" s="103"/>
      <c r="H18" s="45"/>
      <c r="I18" s="45"/>
      <c r="J18" s="45"/>
      <c r="K18" s="45"/>
      <c r="L18" s="41"/>
      <c r="M18" s="64" t="s">
        <v>60</v>
      </c>
      <c r="N18" s="64"/>
      <c r="O18" s="64"/>
      <c r="P18" s="50"/>
      <c r="Q18" s="160"/>
      <c r="R18" s="161" t="s">
        <v>13</v>
      </c>
      <c r="S18" s="162"/>
      <c r="T18" s="161" t="s">
        <v>19</v>
      </c>
      <c r="U18" s="163"/>
      <c r="V18" s="164" t="s">
        <v>55</v>
      </c>
      <c r="W18" s="162"/>
      <c r="X18" s="161" t="s">
        <v>50</v>
      </c>
      <c r="Y18" s="163"/>
      <c r="Z18" s="164" t="s">
        <v>56</v>
      </c>
      <c r="AA18" s="80"/>
      <c r="AB18" s="3"/>
      <c r="AD18" s="90"/>
      <c r="AE18" s="121" t="s">
        <v>25</v>
      </c>
      <c r="AF18" s="122">
        <f>SUMIFS(料金表!I:I,料金表!$A:$A,$AS18,料金表!$B:$B,$AT18,料金表!$C:$C,$AU18,料金表!$F:$F,$AR18)</f>
        <v>10</v>
      </c>
      <c r="AG18" s="148" t="s">
        <v>46</v>
      </c>
      <c r="AH18" s="145"/>
      <c r="AI18" s="123">
        <f>IF(E$11&gt;10,10,E$11)</f>
        <v>10</v>
      </c>
      <c r="AJ18" s="122">
        <f>AI18*$AF18</f>
        <v>100</v>
      </c>
      <c r="AK18" s="148" t="s">
        <v>46</v>
      </c>
      <c r="AL18" s="145"/>
      <c r="AM18" s="123">
        <f>IF(E$12&gt;10,10,E$12)</f>
        <v>10</v>
      </c>
      <c r="AN18" s="122">
        <f>AM18*$AF18</f>
        <v>100</v>
      </c>
      <c r="AO18" s="148" t="s">
        <v>46</v>
      </c>
      <c r="AP18" s="128"/>
      <c r="AQ18" s="3"/>
      <c r="AR18" s="12">
        <v>1</v>
      </c>
      <c r="AS18" s="12" t="s">
        <v>12</v>
      </c>
      <c r="AT18" s="12" t="str">
        <f>D15</f>
        <v>公共下水道</v>
      </c>
      <c r="AU18" s="12" t="s">
        <v>19</v>
      </c>
    </row>
    <row r="19" spans="2:47" ht="16.100000000000001" customHeight="1" x14ac:dyDescent="0.5">
      <c r="B19" s="103"/>
      <c r="C19" s="30"/>
      <c r="D19" s="20"/>
      <c r="E19" s="20"/>
      <c r="F19" s="30"/>
      <c r="G19" s="103"/>
      <c r="H19" s="45"/>
      <c r="I19" s="45"/>
      <c r="J19" s="45"/>
      <c r="K19" s="45"/>
      <c r="L19" s="41"/>
      <c r="M19" s="101" t="s">
        <v>7</v>
      </c>
      <c r="N19" s="75">
        <f>SUM(Z19,Z22)</f>
        <v>4554</v>
      </c>
      <c r="O19" s="65"/>
      <c r="P19" s="28"/>
      <c r="Q19" s="165"/>
      <c r="R19" s="166">
        <f>SUMIFS(料金表!I:I,料金表!$B:$B,D$15,料金表!C:C,R18)</f>
        <v>770</v>
      </c>
      <c r="S19" s="167" t="s">
        <v>34</v>
      </c>
      <c r="T19" s="166">
        <f>AJ23</f>
        <v>1300</v>
      </c>
      <c r="U19" s="167" t="s">
        <v>35</v>
      </c>
      <c r="V19" s="166">
        <f>SUM(R19,T19)</f>
        <v>2070</v>
      </c>
      <c r="W19" s="168" t="s">
        <v>54</v>
      </c>
      <c r="X19" s="169">
        <v>1.1000000000000001</v>
      </c>
      <c r="Y19" s="167" t="s">
        <v>35</v>
      </c>
      <c r="Z19" s="166">
        <f t="shared" ref="Z19" si="5">ROUNDDOWN(V19*1.1,0)</f>
        <v>2277</v>
      </c>
      <c r="AA19" s="61"/>
      <c r="AB19" s="15"/>
      <c r="AD19" s="90"/>
      <c r="AE19" s="83" t="s">
        <v>26</v>
      </c>
      <c r="AF19" s="84">
        <f>SUMIFS(料金表!I:I,料金表!$A:$A,$AS19,料金表!$B:$B,$AT19,料金表!$C:$C,$AU19,料金表!$F:$F,$AR19)</f>
        <v>120</v>
      </c>
      <c r="AG19" s="149" t="s">
        <v>46</v>
      </c>
      <c r="AH19" s="145"/>
      <c r="AI19" s="85">
        <f>IF(E$11&gt;20,10,E$11-SUM(AI$18:AI18))</f>
        <v>10</v>
      </c>
      <c r="AJ19" s="84">
        <f t="shared" ref="AJ19:AJ22" si="6">AI19*$AF19</f>
        <v>1200</v>
      </c>
      <c r="AK19" s="149" t="s">
        <v>46</v>
      </c>
      <c r="AL19" s="145"/>
      <c r="AM19" s="85">
        <f>IF(E$12&gt;20,10,E$12-SUM(AM$18:AM18))</f>
        <v>10</v>
      </c>
      <c r="AN19" s="84">
        <f t="shared" ref="AN19:AN22" si="7">AM19*$AF19</f>
        <v>1200</v>
      </c>
      <c r="AO19" s="149" t="s">
        <v>46</v>
      </c>
      <c r="AP19" s="128"/>
      <c r="AQ19" s="3"/>
      <c r="AR19" s="12">
        <v>2</v>
      </c>
      <c r="AS19" s="12" t="s">
        <v>12</v>
      </c>
      <c r="AT19" s="12" t="str">
        <f>AT18</f>
        <v>公共下水道</v>
      </c>
      <c r="AU19" s="12" t="s">
        <v>19</v>
      </c>
    </row>
    <row r="20" spans="2:47" ht="16.100000000000001" customHeight="1" x14ac:dyDescent="0.5">
      <c r="B20" s="103"/>
      <c r="C20" s="30"/>
      <c r="D20" s="20"/>
      <c r="E20" s="20"/>
      <c r="F20" s="30"/>
      <c r="G20" s="103"/>
      <c r="H20" s="45"/>
      <c r="I20" s="45"/>
      <c r="J20" s="45"/>
      <c r="K20" s="45"/>
      <c r="L20" s="41"/>
      <c r="M20" s="102" t="s">
        <v>57</v>
      </c>
      <c r="N20" s="76"/>
      <c r="O20" s="76"/>
      <c r="P20" s="74"/>
      <c r="Q20" s="183" t="s">
        <v>40</v>
      </c>
      <c r="R20" s="27"/>
      <c r="S20" s="27"/>
      <c r="T20" s="27"/>
      <c r="U20" s="39"/>
      <c r="V20" s="27"/>
      <c r="W20" s="27"/>
      <c r="X20" s="39"/>
      <c r="Y20" s="39"/>
      <c r="Z20" s="27"/>
      <c r="AA20" s="78"/>
      <c r="AD20" s="90"/>
      <c r="AE20" s="83" t="s">
        <v>27</v>
      </c>
      <c r="AF20" s="84">
        <f>SUMIFS(料金表!I:I,料金表!$A:$A,$AS20,料金表!$B:$B,$AT20,料金表!$C:$C,$AU20,料金表!$F:$F,$AR20)</f>
        <v>190</v>
      </c>
      <c r="AG20" s="149" t="s">
        <v>46</v>
      </c>
      <c r="AH20" s="145"/>
      <c r="AI20" s="85">
        <f>IF(E$11&gt;50,30,E$11-SUM(AI$18:AI19))</f>
        <v>0</v>
      </c>
      <c r="AJ20" s="84">
        <f t="shared" si="6"/>
        <v>0</v>
      </c>
      <c r="AK20" s="149" t="s">
        <v>46</v>
      </c>
      <c r="AL20" s="145"/>
      <c r="AM20" s="85">
        <f>IF(E$12&gt;50,30,E$12-SUM(AM$18:AM19))</f>
        <v>0</v>
      </c>
      <c r="AN20" s="84">
        <f t="shared" si="7"/>
        <v>0</v>
      </c>
      <c r="AO20" s="149" t="s">
        <v>46</v>
      </c>
      <c r="AP20" s="128"/>
      <c r="AQ20" s="16"/>
      <c r="AR20" s="12">
        <v>3</v>
      </c>
      <c r="AS20" s="12" t="s">
        <v>12</v>
      </c>
      <c r="AT20" s="12" t="str">
        <f t="shared" ref="AT20:AT22" si="8">AT19</f>
        <v>公共下水道</v>
      </c>
      <c r="AU20" s="12" t="s">
        <v>19</v>
      </c>
    </row>
    <row r="21" spans="2:47" ht="16.75" customHeight="1" x14ac:dyDescent="0.5">
      <c r="B21" s="103"/>
      <c r="C21" s="30"/>
      <c r="D21" s="20"/>
      <c r="E21" s="20"/>
      <c r="F21" s="30"/>
      <c r="G21" s="103"/>
      <c r="H21" s="45"/>
      <c r="I21" s="45"/>
      <c r="J21" s="45"/>
      <c r="K21" s="45"/>
      <c r="L21" s="41"/>
      <c r="M21" s="100"/>
      <c r="N21" s="76"/>
      <c r="O21" s="76"/>
      <c r="P21" s="39"/>
      <c r="Q21" s="160"/>
      <c r="R21" s="161" t="s">
        <v>13</v>
      </c>
      <c r="S21" s="162"/>
      <c r="T21" s="161" t="s">
        <v>19</v>
      </c>
      <c r="U21" s="163"/>
      <c r="V21" s="164" t="s">
        <v>55</v>
      </c>
      <c r="W21" s="162"/>
      <c r="X21" s="161" t="s">
        <v>50</v>
      </c>
      <c r="Y21" s="163"/>
      <c r="Z21" s="164" t="s">
        <v>56</v>
      </c>
      <c r="AA21" s="80"/>
      <c r="AB21" s="3"/>
      <c r="AD21" s="90"/>
      <c r="AE21" s="83" t="s">
        <v>28</v>
      </c>
      <c r="AF21" s="84">
        <f>SUMIFS(料金表!I:I,料金表!$A:$A,$AS21,料金表!$B:$B,$AT21,料金表!$C:$C,$AU21,料金表!$F:$F,$AR21)</f>
        <v>270</v>
      </c>
      <c r="AG21" s="149" t="s">
        <v>46</v>
      </c>
      <c r="AH21" s="145"/>
      <c r="AI21" s="85">
        <f>IF(E$11&gt;100,50,E$11-SUM(AI$18:AI20))</f>
        <v>0</v>
      </c>
      <c r="AJ21" s="84">
        <f t="shared" si="6"/>
        <v>0</v>
      </c>
      <c r="AK21" s="149" t="s">
        <v>46</v>
      </c>
      <c r="AL21" s="145"/>
      <c r="AM21" s="85">
        <f>IF(E$12&gt;100,50,E$12-SUM(AM$18:AM20))</f>
        <v>0</v>
      </c>
      <c r="AN21" s="84">
        <f t="shared" si="7"/>
        <v>0</v>
      </c>
      <c r="AO21" s="149" t="s">
        <v>46</v>
      </c>
      <c r="AP21" s="128"/>
      <c r="AQ21" s="16"/>
      <c r="AR21" s="12">
        <v>4</v>
      </c>
      <c r="AS21" s="12" t="s">
        <v>12</v>
      </c>
      <c r="AT21" s="12" t="str">
        <f t="shared" si="8"/>
        <v>公共下水道</v>
      </c>
      <c r="AU21" s="12" t="s">
        <v>19</v>
      </c>
    </row>
    <row r="22" spans="2:47" ht="16.100000000000001" customHeight="1" thickBot="1" x14ac:dyDescent="0.55000000000000004">
      <c r="B22" s="103"/>
      <c r="C22" s="30"/>
      <c r="D22" s="20"/>
      <c r="E22" s="20"/>
      <c r="F22" s="30"/>
      <c r="G22" s="103"/>
      <c r="H22" s="47"/>
      <c r="I22" s="47"/>
      <c r="J22" s="47"/>
      <c r="K22" s="47"/>
      <c r="L22" s="41"/>
      <c r="M22" s="41"/>
      <c r="N22" s="41"/>
      <c r="O22" s="41"/>
      <c r="P22" s="39"/>
      <c r="Q22" s="165"/>
      <c r="R22" s="166">
        <f>SUMIFS(料金表!I:I,料金表!$B:$B,D$15,料金表!C:C,R21)</f>
        <v>770</v>
      </c>
      <c r="S22" s="167" t="s">
        <v>34</v>
      </c>
      <c r="T22" s="166">
        <f>AN23</f>
        <v>1300</v>
      </c>
      <c r="U22" s="167" t="s">
        <v>35</v>
      </c>
      <c r="V22" s="166">
        <f>SUM(R22,T22)</f>
        <v>2070</v>
      </c>
      <c r="W22" s="168" t="s">
        <v>54</v>
      </c>
      <c r="X22" s="169">
        <v>1.1000000000000001</v>
      </c>
      <c r="Y22" s="167" t="s">
        <v>35</v>
      </c>
      <c r="Z22" s="166">
        <f t="shared" ref="Z22" si="9">ROUNDDOWN(V22*1.1,0)</f>
        <v>2277</v>
      </c>
      <c r="AA22" s="61"/>
      <c r="AB22" s="3"/>
      <c r="AD22" s="41"/>
      <c r="AE22" s="129" t="s">
        <v>29</v>
      </c>
      <c r="AF22" s="130">
        <f>SUMIFS(料金表!I:I,料金表!$A:$A,$AS22,料金表!$B:$B,$AT22,料金表!$C:$C,$AU22,料金表!$F:$F,$AR22)</f>
        <v>300</v>
      </c>
      <c r="AG22" s="150" t="s">
        <v>46</v>
      </c>
      <c r="AH22" s="146"/>
      <c r="AI22" s="131">
        <f>IF(E$11&gt;100,E$11-SUM(AI$18:AI21),0)</f>
        <v>0</v>
      </c>
      <c r="AJ22" s="130">
        <f t="shared" si="6"/>
        <v>0</v>
      </c>
      <c r="AK22" s="150" t="s">
        <v>46</v>
      </c>
      <c r="AL22" s="146"/>
      <c r="AM22" s="131">
        <f>IF(E$12&gt;100,E$12-SUM(AM$18:AM21),0)</f>
        <v>0</v>
      </c>
      <c r="AN22" s="130">
        <f t="shared" si="7"/>
        <v>0</v>
      </c>
      <c r="AO22" s="150" t="s">
        <v>46</v>
      </c>
      <c r="AP22" s="137"/>
      <c r="AQ22" s="16"/>
      <c r="AR22" s="12">
        <v>5</v>
      </c>
      <c r="AS22" s="12" t="s">
        <v>12</v>
      </c>
      <c r="AT22" s="12" t="str">
        <f t="shared" si="8"/>
        <v>公共下水道</v>
      </c>
      <c r="AU22" s="12" t="s">
        <v>19</v>
      </c>
    </row>
    <row r="23" spans="2:47" ht="16.100000000000001" customHeight="1" thickTop="1" thickBot="1" x14ac:dyDescent="0.55000000000000004">
      <c r="B23" s="103"/>
      <c r="C23" s="30"/>
      <c r="D23" s="20"/>
      <c r="E23" s="20"/>
      <c r="F23" s="30"/>
      <c r="G23" s="103"/>
      <c r="H23" s="45"/>
      <c r="I23" s="45"/>
      <c r="J23" s="45"/>
      <c r="K23" s="45"/>
      <c r="L23" s="41"/>
      <c r="M23" s="41"/>
      <c r="N23" s="41"/>
      <c r="O23" s="41"/>
      <c r="P23" s="39"/>
      <c r="Q23" s="20"/>
      <c r="R23" s="21"/>
      <c r="S23" s="27"/>
      <c r="T23" s="21"/>
      <c r="U23" s="27"/>
      <c r="V23" s="21"/>
      <c r="W23" s="89"/>
      <c r="X23" s="19"/>
      <c r="Y23" s="27"/>
      <c r="Z23" s="21"/>
      <c r="AA23" s="61"/>
      <c r="AB23" s="15"/>
      <c r="AD23" s="138"/>
      <c r="AE23" s="22" t="s">
        <v>30</v>
      </c>
      <c r="AF23" s="24"/>
      <c r="AG23" s="24"/>
      <c r="AH23" s="139"/>
      <c r="AI23" s="140">
        <f>SUM(AI18:AI22)</f>
        <v>20</v>
      </c>
      <c r="AJ23" s="23">
        <f>SUM(AJ18:AJ22)</f>
        <v>1300</v>
      </c>
      <c r="AK23" s="23"/>
      <c r="AL23" s="139"/>
      <c r="AM23" s="140">
        <f>SUM(AM18:AM22)</f>
        <v>20</v>
      </c>
      <c r="AN23" s="23">
        <f>SUM(AN18:AN22)</f>
        <v>1300</v>
      </c>
      <c r="AO23" s="23"/>
      <c r="AP23" s="141"/>
      <c r="AQ23" s="16"/>
    </row>
    <row r="24" spans="2:47" ht="6.1" customHeight="1" thickTop="1" x14ac:dyDescent="0.5">
      <c r="B24" s="103"/>
      <c r="C24" s="103"/>
      <c r="D24" s="103"/>
      <c r="E24" s="103"/>
      <c r="F24" s="103"/>
      <c r="G24" s="103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81"/>
      <c r="S24" s="42"/>
      <c r="T24" s="81"/>
      <c r="U24" s="42"/>
      <c r="V24" s="81"/>
      <c r="W24" s="81"/>
      <c r="X24" s="42"/>
      <c r="Y24" s="42"/>
      <c r="Z24" s="42"/>
      <c r="AA24" s="42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16"/>
    </row>
    <row r="25" spans="2:47" x14ac:dyDescent="0.5">
      <c r="AQ25" s="15"/>
    </row>
  </sheetData>
  <sheetProtection algorithmName="SHA-512" hashValue="hYaIll5mVKN2TJgBawrWE79azoJIRafIyFDj3NQgb+OM/x3uStVeVqhLU7SGqd3mnDfzWaNXeSXWA3BsQy62ew==" saltValue="Uvd/som2nQHOM2qwgQLSLA==" spinCount="100000" sheet="1" objects="1" scenarios="1"/>
  <mergeCells count="4">
    <mergeCell ref="M6:N6"/>
    <mergeCell ref="D3:E3"/>
    <mergeCell ref="D15:E15"/>
    <mergeCell ref="D7:E7"/>
  </mergeCells>
  <phoneticPr fontId="2"/>
  <dataValidations count="1">
    <dataValidation type="list" allowBlank="1" showInputMessage="1" showErrorMessage="1" sqref="D15:E15" xr:uid="{42C3F5F4-B359-4815-A568-E45EF39A781A}">
      <formula1>"公共下水道,地域下水道,下水なし"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17479B-3364-4BAD-BFC6-7CC644A534D0}">
          <x14:formula1>
            <xm:f>料金表!$E$3:$E$12</xm:f>
          </x14:formula1>
          <xm:sqref>D7:E7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E7328-3D57-4AE0-B631-9BB06EE3A0FC}">
  <dimension ref="B1:AU25"/>
  <sheetViews>
    <sheetView showGridLines="0" view="pageBreakPreview" topLeftCell="A5" zoomScale="130" zoomScaleNormal="100" zoomScaleSheetLayoutView="130" workbookViewId="0">
      <selection activeCell="Q11" sqref="Q11"/>
    </sheetView>
  </sheetViews>
  <sheetFormatPr defaultRowHeight="14.4" outlineLevelCol="1" x14ac:dyDescent="0.5"/>
  <cols>
    <col min="1" max="1" width="0.7265625" style="12" customWidth="1"/>
    <col min="2" max="3" width="0.90625" style="12" customWidth="1"/>
    <col min="4" max="5" width="6.6328125" style="12" customWidth="1"/>
    <col min="6" max="6" width="0.90625" style="12" customWidth="1"/>
    <col min="7" max="8" width="0.81640625" style="12" customWidth="1"/>
    <col min="9" max="9" width="5.90625" style="12" customWidth="1"/>
    <col min="10" max="10" width="10" style="12" customWidth="1"/>
    <col min="11" max="12" width="0.81640625" style="12" customWidth="1"/>
    <col min="13" max="13" width="6.36328125" style="12" customWidth="1"/>
    <col min="14" max="14" width="10.1796875" style="12" customWidth="1"/>
    <col min="15" max="16" width="0.7265625" style="12" customWidth="1"/>
    <col min="17" max="17" width="6.90625" style="12" customWidth="1"/>
    <col min="18" max="18" width="9.453125" style="12" customWidth="1"/>
    <col min="19" max="19" width="2.54296875" style="12" customWidth="1"/>
    <col min="20" max="20" width="9.453125" style="12" customWidth="1"/>
    <col min="21" max="21" width="2.54296875" style="12" customWidth="1"/>
    <col min="22" max="22" width="13.1796875" style="12" customWidth="1"/>
    <col min="23" max="23" width="2.54296875" style="12" customWidth="1"/>
    <col min="24" max="24" width="6.7265625" style="12" customWidth="1"/>
    <col min="25" max="25" width="2.54296875" style="12" customWidth="1"/>
    <col min="26" max="26" width="13.1796875" style="12" customWidth="1"/>
    <col min="27" max="27" width="0.90625" style="12" customWidth="1"/>
    <col min="28" max="28" width="1.36328125" style="12" customWidth="1"/>
    <col min="29" max="29" width="1.90625" style="17" customWidth="1"/>
    <col min="30" max="30" width="1.453125" style="17" customWidth="1"/>
    <col min="31" max="33" width="8.453125" style="12" customWidth="1"/>
    <col min="34" max="34" width="1.453125" style="12" customWidth="1"/>
    <col min="35" max="37" width="8.453125" style="12" customWidth="1"/>
    <col min="38" max="38" width="1.453125" style="12" customWidth="1"/>
    <col min="39" max="41" width="8.453125" style="12" customWidth="1"/>
    <col min="42" max="42" width="0.90625" style="12" customWidth="1"/>
    <col min="43" max="43" width="1.6328125" style="12" customWidth="1"/>
    <col min="44" max="44" width="4.08984375" style="12" customWidth="1" outlineLevel="1"/>
    <col min="45" max="47" width="8.7265625" style="12" customWidth="1" outlineLevel="1"/>
    <col min="48" max="16384" width="8.7265625" style="12"/>
  </cols>
  <sheetData>
    <row r="1" spans="2:47" ht="22.15" customHeight="1" x14ac:dyDescent="0.5">
      <c r="D1" s="98" t="s">
        <v>64</v>
      </c>
      <c r="E1" s="98"/>
      <c r="Z1" s="99">
        <v>45658</v>
      </c>
      <c r="AE1" s="98" t="s">
        <v>63</v>
      </c>
    </row>
    <row r="2" spans="2:47" x14ac:dyDescent="0.5">
      <c r="D2" s="12" t="s">
        <v>61</v>
      </c>
      <c r="AE2" s="12" t="s">
        <v>61</v>
      </c>
    </row>
    <row r="3" spans="2:47" ht="16.649999999999999" x14ac:dyDescent="0.5">
      <c r="B3" s="103"/>
      <c r="C3" s="103"/>
      <c r="D3" s="186" t="s">
        <v>49</v>
      </c>
      <c r="E3" s="187"/>
      <c r="F3" s="103"/>
      <c r="G3" s="104"/>
      <c r="H3" s="45"/>
      <c r="I3" s="77" t="s">
        <v>48</v>
      </c>
      <c r="J3" s="78"/>
      <c r="K3" s="60"/>
      <c r="L3" s="60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17"/>
      <c r="AD3" s="91"/>
      <c r="AE3" s="124" t="s">
        <v>9</v>
      </c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</row>
    <row r="4" spans="2:47" ht="16.100000000000001" customHeight="1" x14ac:dyDescent="0.5">
      <c r="B4" s="103"/>
      <c r="C4" s="30"/>
      <c r="D4" s="44"/>
      <c r="E4" s="44"/>
      <c r="F4" s="30"/>
      <c r="G4" s="103"/>
      <c r="H4" s="45"/>
      <c r="I4" s="60"/>
      <c r="J4" s="60"/>
      <c r="K4" s="60"/>
      <c r="L4" s="66"/>
      <c r="M4" s="69" t="s">
        <v>9</v>
      </c>
      <c r="N4" s="70"/>
      <c r="O4" s="70"/>
      <c r="P4" s="70"/>
      <c r="Q4" s="48"/>
      <c r="R4" s="48"/>
      <c r="S4" s="48"/>
      <c r="T4" s="48"/>
      <c r="U4" s="48"/>
      <c r="V4" s="48"/>
      <c r="W4" s="48"/>
      <c r="X4" s="48"/>
      <c r="Y4" s="48"/>
      <c r="Z4" s="48"/>
      <c r="AA4" s="45"/>
      <c r="AD4" s="91"/>
      <c r="AE4" s="115" t="s">
        <v>62</v>
      </c>
      <c r="AF4" s="115"/>
      <c r="AG4" s="115"/>
      <c r="AH4" s="95"/>
      <c r="AI4" s="95"/>
      <c r="AJ4" s="96" t="s">
        <v>65</v>
      </c>
      <c r="AK4" s="95"/>
      <c r="AL4" s="95"/>
      <c r="AM4" s="95"/>
      <c r="AN4" s="96" t="s">
        <v>66</v>
      </c>
      <c r="AO4" s="95"/>
      <c r="AP4" s="91"/>
      <c r="AS4" s="13"/>
    </row>
    <row r="5" spans="2:47" ht="16.100000000000001" customHeight="1" thickBot="1" x14ac:dyDescent="0.45">
      <c r="B5" s="103"/>
      <c r="C5" s="30"/>
      <c r="D5" s="20"/>
      <c r="E5" s="20"/>
      <c r="F5" s="30"/>
      <c r="G5" s="105"/>
      <c r="H5" s="78"/>
      <c r="I5" s="73" t="s">
        <v>58</v>
      </c>
      <c r="J5" s="73"/>
      <c r="K5" s="45"/>
      <c r="L5" s="48"/>
      <c r="M5" s="55"/>
      <c r="N5" s="48"/>
      <c r="O5" s="48"/>
      <c r="P5" s="39"/>
      <c r="Q5" s="183" t="s">
        <v>39</v>
      </c>
      <c r="R5" s="27"/>
      <c r="S5" s="27"/>
      <c r="T5" s="27"/>
      <c r="U5" s="39"/>
      <c r="V5" s="27"/>
      <c r="W5" s="27"/>
      <c r="X5" s="27"/>
      <c r="Y5" s="39"/>
      <c r="Z5" s="27"/>
      <c r="AA5" s="78"/>
      <c r="AB5" s="3"/>
      <c r="AD5" s="91"/>
      <c r="AE5" s="3" t="s">
        <v>32</v>
      </c>
      <c r="AF5" s="3" t="s">
        <v>7</v>
      </c>
      <c r="AG5" s="3" t="s">
        <v>33</v>
      </c>
      <c r="AH5" s="147"/>
      <c r="AI5" s="3" t="s">
        <v>24</v>
      </c>
      <c r="AJ5" s="3" t="s">
        <v>7</v>
      </c>
      <c r="AK5" s="3" t="s">
        <v>33</v>
      </c>
      <c r="AL5" s="147"/>
      <c r="AM5" s="3" t="s">
        <v>24</v>
      </c>
      <c r="AN5" s="3" t="s">
        <v>7</v>
      </c>
      <c r="AO5" s="3" t="s">
        <v>33</v>
      </c>
      <c r="AP5" s="92"/>
      <c r="AQ5" s="3"/>
      <c r="AR5" s="3" t="s">
        <v>31</v>
      </c>
      <c r="AS5" s="12" t="s">
        <v>47</v>
      </c>
      <c r="AT5" s="1" t="s">
        <v>20</v>
      </c>
      <c r="AU5" s="1" t="s">
        <v>21</v>
      </c>
    </row>
    <row r="6" spans="2:47" ht="16.100000000000001" customHeight="1" x14ac:dyDescent="0.5">
      <c r="B6" s="103"/>
      <c r="C6" s="30"/>
      <c r="D6" s="108" t="s">
        <v>41</v>
      </c>
      <c r="E6" s="109"/>
      <c r="F6" s="30"/>
      <c r="G6" s="106"/>
      <c r="H6" s="46"/>
      <c r="I6" s="170" t="s">
        <v>7</v>
      </c>
      <c r="J6" s="171">
        <f ca="1">SUM(N7,N19)</f>
        <v>5720</v>
      </c>
      <c r="K6" s="62"/>
      <c r="L6" s="67"/>
      <c r="M6" s="184" t="s">
        <v>59</v>
      </c>
      <c r="N6" s="185"/>
      <c r="O6" s="71"/>
      <c r="P6" s="50"/>
      <c r="Q6" s="43"/>
      <c r="R6" s="156" t="s">
        <v>0</v>
      </c>
      <c r="S6" s="27"/>
      <c r="T6" s="31" t="s">
        <v>23</v>
      </c>
      <c r="U6" s="39"/>
      <c r="V6" s="32" t="s">
        <v>51</v>
      </c>
      <c r="W6" s="29"/>
      <c r="X6" s="31" t="s">
        <v>50</v>
      </c>
      <c r="Y6" s="39"/>
      <c r="Z6" s="32" t="s">
        <v>52</v>
      </c>
      <c r="AA6" s="79"/>
      <c r="AB6" s="3"/>
      <c r="AD6" s="91"/>
      <c r="AE6" s="121" t="s">
        <v>25</v>
      </c>
      <c r="AF6" s="122">
        <f>SUMIFS(料金表!I:I,料金表!$A:$A,$AS6,料金表!$C:$C,$AU6,料金表!$F:$F,$AR6)</f>
        <v>28</v>
      </c>
      <c r="AG6" s="122">
        <f>SUMIFS(料金表!J:J,料金表!$A:$A,$AS6,料金表!$C:$C,$AU6,料金表!$F:$F,$AR6)</f>
        <v>57</v>
      </c>
      <c r="AH6" s="97"/>
      <c r="AI6" s="123">
        <f>IF(E$11&gt;10,10,E$11)</f>
        <v>10</v>
      </c>
      <c r="AJ6" s="122">
        <f>AI6*$AF6</f>
        <v>280</v>
      </c>
      <c r="AK6" s="122">
        <f>AI6*$AG6</f>
        <v>570</v>
      </c>
      <c r="AL6" s="97"/>
      <c r="AM6" s="123">
        <f>IF(E$12&gt;10,10,E$12)</f>
        <v>10</v>
      </c>
      <c r="AN6" s="122">
        <f>AM6*$AF6</f>
        <v>280</v>
      </c>
      <c r="AO6" s="122">
        <f>AM6*$AG6</f>
        <v>570</v>
      </c>
      <c r="AP6" s="93"/>
      <c r="AQ6" s="15"/>
      <c r="AR6" s="12">
        <v>1</v>
      </c>
      <c r="AS6" s="12" t="s">
        <v>9</v>
      </c>
      <c r="AT6" s="12" t="s">
        <v>9</v>
      </c>
      <c r="AU6" s="12" t="s">
        <v>1</v>
      </c>
    </row>
    <row r="7" spans="2:47" ht="16.100000000000001" customHeight="1" thickBot="1" x14ac:dyDescent="0.55000000000000004">
      <c r="B7" s="103"/>
      <c r="C7" s="30"/>
      <c r="D7" s="192">
        <v>20</v>
      </c>
      <c r="E7" s="193"/>
      <c r="F7" s="30"/>
      <c r="G7" s="103"/>
      <c r="H7" s="45"/>
      <c r="I7" s="172" t="s">
        <v>33</v>
      </c>
      <c r="J7" s="173">
        <f ca="1">SUM(N8,N19)</f>
        <v>6050</v>
      </c>
      <c r="K7" s="63"/>
      <c r="L7" s="68"/>
      <c r="M7" s="179" t="s">
        <v>7</v>
      </c>
      <c r="N7" s="176">
        <f ca="1">SUM(Z7,Z12)</f>
        <v>3806</v>
      </c>
      <c r="O7" s="68"/>
      <c r="P7" s="28"/>
      <c r="Q7" s="154" t="s">
        <v>7</v>
      </c>
      <c r="R7" s="157">
        <f ca="1">OFFSET(料金表!I$1,MATCH($D$7,料金表!$E:$E,0)-1,0)</f>
        <v>1450</v>
      </c>
      <c r="S7" s="151" t="s">
        <v>34</v>
      </c>
      <c r="T7" s="152">
        <f>AJ11</f>
        <v>280</v>
      </c>
      <c r="U7" s="151" t="s">
        <v>35</v>
      </c>
      <c r="V7" s="152">
        <f ca="1">SUM(R7,T7)</f>
        <v>1730</v>
      </c>
      <c r="W7" s="153" t="s">
        <v>53</v>
      </c>
      <c r="X7" s="154" t="s">
        <v>36</v>
      </c>
      <c r="Y7" s="151" t="s">
        <v>35</v>
      </c>
      <c r="Z7" s="152">
        <f ca="1">ROUNDDOWN(V7*1.1,0)</f>
        <v>1903</v>
      </c>
      <c r="AA7" s="61"/>
      <c r="AB7" s="15"/>
      <c r="AD7" s="91"/>
      <c r="AE7" s="83" t="s">
        <v>26</v>
      </c>
      <c r="AF7" s="84">
        <f>SUMIFS(料金表!I:I,料金表!$A:$A,$AS7,料金表!$C:$C,$AU7,料金表!$F:$F,$AR7)</f>
        <v>56</v>
      </c>
      <c r="AG7" s="84">
        <f>SUMIFS(料金表!J:J,料金表!$A:$A,$AS7,料金表!$C:$C,$AU7,料金表!$F:$F,$AR7)</f>
        <v>85</v>
      </c>
      <c r="AH7" s="97"/>
      <c r="AI7" s="85">
        <f>IF(E$11&gt;20,10,E$11-SUM(AI$6:AI6))</f>
        <v>0</v>
      </c>
      <c r="AJ7" s="84">
        <f t="shared" ref="AJ7:AJ10" si="0">AI7*$AF7</f>
        <v>0</v>
      </c>
      <c r="AK7" s="84">
        <f t="shared" ref="AK7:AK10" si="1">AI7*$AG7</f>
        <v>0</v>
      </c>
      <c r="AL7" s="97"/>
      <c r="AM7" s="85">
        <f>IF(E$12&gt;20,10,E$12-SUM(AM$6:AM6))</f>
        <v>0</v>
      </c>
      <c r="AN7" s="84">
        <f t="shared" ref="AN7:AN10" si="2">AM7*$AF7</f>
        <v>0</v>
      </c>
      <c r="AO7" s="84">
        <f t="shared" ref="AO7:AO10" si="3">AM7*$AG7</f>
        <v>0</v>
      </c>
      <c r="AP7" s="93"/>
      <c r="AQ7" s="15"/>
      <c r="AR7" s="12">
        <v>2</v>
      </c>
      <c r="AS7" s="12" t="s">
        <v>9</v>
      </c>
      <c r="AT7" s="12" t="s">
        <v>9</v>
      </c>
      <c r="AU7" s="12" t="s">
        <v>1</v>
      </c>
    </row>
    <row r="8" spans="2:47" ht="16.100000000000001" customHeight="1" thickBot="1" x14ac:dyDescent="0.55000000000000004">
      <c r="B8" s="103"/>
      <c r="C8" s="30"/>
      <c r="D8" s="20"/>
      <c r="E8" s="20"/>
      <c r="F8" s="30"/>
      <c r="G8" s="103"/>
      <c r="H8" s="45"/>
      <c r="I8" s="174" t="s">
        <v>14</v>
      </c>
      <c r="J8" s="175">
        <f ca="1">J7-J6</f>
        <v>330</v>
      </c>
      <c r="K8" s="63"/>
      <c r="L8" s="68"/>
      <c r="M8" s="180" t="s">
        <v>33</v>
      </c>
      <c r="N8" s="177">
        <f ca="1">SUM(Z8,Z13)</f>
        <v>4136</v>
      </c>
      <c r="O8" s="68"/>
      <c r="P8" s="28"/>
      <c r="Q8" s="34" t="s">
        <v>33</v>
      </c>
      <c r="R8" s="158">
        <f ca="1">OFFSET(料金表!J$1,MATCH($D$7,料金表!$E:$E,0)-1,0)</f>
        <v>1310</v>
      </c>
      <c r="S8" s="37" t="s">
        <v>34</v>
      </c>
      <c r="T8" s="33">
        <f>AK11</f>
        <v>570</v>
      </c>
      <c r="U8" s="37" t="s">
        <v>35</v>
      </c>
      <c r="V8" s="33">
        <f ca="1">SUM(R8,T8)</f>
        <v>1880</v>
      </c>
      <c r="W8" s="53" t="s">
        <v>54</v>
      </c>
      <c r="X8" s="34" t="s">
        <v>36</v>
      </c>
      <c r="Y8" s="37" t="s">
        <v>35</v>
      </c>
      <c r="Z8" s="33">
        <f ca="1">ROUNDDOWN(V8*1.1,0)</f>
        <v>2068</v>
      </c>
      <c r="AA8" s="61"/>
      <c r="AB8" s="15"/>
      <c r="AD8" s="91"/>
      <c r="AE8" s="83" t="s">
        <v>27</v>
      </c>
      <c r="AF8" s="84">
        <f>SUMIFS(料金表!I:I,料金表!$A:$A,$AS8,料金表!$C:$C,$AU8,料金表!$F:$F,$AR8)</f>
        <v>92</v>
      </c>
      <c r="AG8" s="84">
        <f>SUMIFS(料金表!J:J,料金表!$A:$A,$AS8,料金表!$C:$C,$AU8,料金表!$F:$F,$AR8)</f>
        <v>121</v>
      </c>
      <c r="AH8" s="97"/>
      <c r="AI8" s="85">
        <f>IF(E$11&gt;50,30,E$11-SUM(AI$6:AI7))</f>
        <v>0</v>
      </c>
      <c r="AJ8" s="84">
        <f t="shared" si="0"/>
        <v>0</v>
      </c>
      <c r="AK8" s="84">
        <f t="shared" si="1"/>
        <v>0</v>
      </c>
      <c r="AL8" s="97"/>
      <c r="AM8" s="85">
        <f>IF(E$12&gt;50,30,E$12-SUM(AM$6:AM7))</f>
        <v>0</v>
      </c>
      <c r="AN8" s="84">
        <f t="shared" si="2"/>
        <v>0</v>
      </c>
      <c r="AO8" s="84">
        <f t="shared" si="3"/>
        <v>0</v>
      </c>
      <c r="AP8" s="93"/>
      <c r="AQ8" s="15"/>
      <c r="AR8" s="12">
        <v>3</v>
      </c>
      <c r="AS8" s="12" t="s">
        <v>9</v>
      </c>
      <c r="AT8" s="12" t="s">
        <v>9</v>
      </c>
      <c r="AU8" s="12" t="s">
        <v>1</v>
      </c>
    </row>
    <row r="9" spans="2:47" ht="16.100000000000001" customHeight="1" x14ac:dyDescent="0.5">
      <c r="B9" s="103"/>
      <c r="C9" s="30"/>
      <c r="D9" s="108" t="s">
        <v>42</v>
      </c>
      <c r="E9" s="109"/>
      <c r="F9" s="30"/>
      <c r="G9" s="107"/>
      <c r="H9" s="72"/>
      <c r="I9" s="72"/>
      <c r="J9" s="45"/>
      <c r="K9" s="63"/>
      <c r="L9" s="68"/>
      <c r="M9" s="181" t="s">
        <v>14</v>
      </c>
      <c r="N9" s="178">
        <f ca="1">N8-N7</f>
        <v>330</v>
      </c>
      <c r="O9" s="68"/>
      <c r="P9" s="28"/>
      <c r="Q9" s="52" t="s">
        <v>14</v>
      </c>
      <c r="R9" s="159">
        <f ca="1">R8-R7</f>
        <v>-140</v>
      </c>
      <c r="S9" s="38"/>
      <c r="T9" s="35">
        <f>T8-T7</f>
        <v>290</v>
      </c>
      <c r="U9" s="38"/>
      <c r="V9" s="35">
        <f ca="1">V8-V7</f>
        <v>150</v>
      </c>
      <c r="W9" s="54"/>
      <c r="X9" s="36"/>
      <c r="Y9" s="38"/>
      <c r="Z9" s="35">
        <f ca="1">Z8-Z7</f>
        <v>165</v>
      </c>
      <c r="AA9" s="61"/>
      <c r="AB9" s="15"/>
      <c r="AD9" s="91"/>
      <c r="AE9" s="83" t="s">
        <v>28</v>
      </c>
      <c r="AF9" s="84">
        <f>SUMIFS(料金表!I:I,料金表!$A:$A,$AS9,料金表!$C:$C,$AU9,料金表!$F:$F,$AR9)</f>
        <v>160</v>
      </c>
      <c r="AG9" s="84">
        <f>SUMIFS(料金表!J:J,料金表!$A:$A,$AS9,料金表!$C:$C,$AU9,料金表!$F:$F,$AR9)</f>
        <v>189</v>
      </c>
      <c r="AH9" s="97"/>
      <c r="AI9" s="85">
        <f>IF(E$11&gt;100,50,E$11-SUM(AI$6:AI8))</f>
        <v>0</v>
      </c>
      <c r="AJ9" s="84">
        <f t="shared" si="0"/>
        <v>0</v>
      </c>
      <c r="AK9" s="84">
        <f t="shared" si="1"/>
        <v>0</v>
      </c>
      <c r="AL9" s="97"/>
      <c r="AM9" s="85">
        <f>IF(E$12&gt;100,50,E$12-SUM(AM$6:AM8))</f>
        <v>0</v>
      </c>
      <c r="AN9" s="84">
        <f t="shared" si="2"/>
        <v>0</v>
      </c>
      <c r="AO9" s="84">
        <f t="shared" si="3"/>
        <v>0</v>
      </c>
      <c r="AP9" s="93"/>
      <c r="AQ9" s="15"/>
      <c r="AR9" s="12">
        <v>4</v>
      </c>
      <c r="AS9" s="12" t="s">
        <v>9</v>
      </c>
      <c r="AT9" s="12" t="s">
        <v>9</v>
      </c>
      <c r="AU9" s="12" t="s">
        <v>1</v>
      </c>
    </row>
    <row r="10" spans="2:47" ht="16.100000000000001" customHeight="1" x14ac:dyDescent="0.5">
      <c r="B10" s="103"/>
      <c r="C10" s="30"/>
      <c r="D10" s="110" t="s">
        <v>43</v>
      </c>
      <c r="E10" s="182">
        <v>20</v>
      </c>
      <c r="F10" s="30"/>
      <c r="G10" s="107"/>
      <c r="H10" s="72"/>
      <c r="I10" s="72"/>
      <c r="J10" s="45"/>
      <c r="K10" s="45"/>
      <c r="L10" s="48"/>
      <c r="M10" s="55"/>
      <c r="N10" s="48"/>
      <c r="O10" s="48"/>
      <c r="P10" s="39"/>
      <c r="Q10" s="183" t="s">
        <v>40</v>
      </c>
      <c r="R10" s="27"/>
      <c r="S10" s="27"/>
      <c r="T10" s="27"/>
      <c r="U10" s="39"/>
      <c r="V10" s="27"/>
      <c r="W10" s="27"/>
      <c r="X10" s="27"/>
      <c r="Y10" s="39"/>
      <c r="Z10" s="27"/>
      <c r="AA10" s="78"/>
      <c r="AB10" s="13"/>
      <c r="AD10" s="91"/>
      <c r="AE10" s="86" t="s">
        <v>29</v>
      </c>
      <c r="AF10" s="87">
        <f>SUMIFS(料金表!I:I,料金表!$A:$A,$AS10,料金表!$C:$C,$AU10,料金表!$F:$F,$AR10)</f>
        <v>240</v>
      </c>
      <c r="AG10" s="87">
        <f>SUMIFS(料金表!J:J,料金表!$A:$A,$AS10,料金表!$C:$C,$AU10,料金表!$F:$F,$AR10)</f>
        <v>269</v>
      </c>
      <c r="AH10" s="97"/>
      <c r="AI10" s="88">
        <f>IF(E$11&gt;100,E$11-SUM(AI$6:AI9),0)</f>
        <v>0</v>
      </c>
      <c r="AJ10" s="87">
        <f t="shared" si="0"/>
        <v>0</v>
      </c>
      <c r="AK10" s="87">
        <f t="shared" si="1"/>
        <v>0</v>
      </c>
      <c r="AL10" s="97"/>
      <c r="AM10" s="88">
        <f>IF(E$12&gt;100,E$12-SUM(AM$6:AM9),0)</f>
        <v>0</v>
      </c>
      <c r="AN10" s="87">
        <f t="shared" si="2"/>
        <v>0</v>
      </c>
      <c r="AO10" s="87">
        <f t="shared" si="3"/>
        <v>0</v>
      </c>
      <c r="AP10" s="93"/>
      <c r="AQ10" s="15"/>
      <c r="AR10" s="12">
        <v>5</v>
      </c>
      <c r="AS10" s="12" t="s">
        <v>9</v>
      </c>
      <c r="AT10" s="12" t="s">
        <v>9</v>
      </c>
      <c r="AU10" s="12" t="s">
        <v>1</v>
      </c>
    </row>
    <row r="11" spans="2:47" ht="16.100000000000001" customHeight="1" x14ac:dyDescent="0.5">
      <c r="B11" s="103"/>
      <c r="C11" s="30"/>
      <c r="D11" s="111" t="s">
        <v>44</v>
      </c>
      <c r="E11" s="113">
        <f>ROUND(E10/2,0)</f>
        <v>10</v>
      </c>
      <c r="F11" s="30"/>
      <c r="G11" s="103"/>
      <c r="H11" s="45"/>
      <c r="I11" s="45"/>
      <c r="J11" s="45"/>
      <c r="K11" s="45"/>
      <c r="L11" s="48"/>
      <c r="M11" s="55"/>
      <c r="N11" s="48"/>
      <c r="O11" s="48"/>
      <c r="P11" s="39"/>
      <c r="Q11" s="18"/>
      <c r="R11" s="156" t="s">
        <v>0</v>
      </c>
      <c r="S11" s="27"/>
      <c r="T11" s="31" t="s">
        <v>23</v>
      </c>
      <c r="U11" s="39"/>
      <c r="V11" s="32" t="s">
        <v>51</v>
      </c>
      <c r="W11" s="29"/>
      <c r="X11" s="31" t="s">
        <v>50</v>
      </c>
      <c r="Y11" s="39"/>
      <c r="Z11" s="32" t="s">
        <v>52</v>
      </c>
      <c r="AA11" s="79"/>
      <c r="AB11" s="3"/>
      <c r="AD11" s="91"/>
      <c r="AE11" s="117" t="s">
        <v>30</v>
      </c>
      <c r="AF11" s="118"/>
      <c r="AG11" s="118"/>
      <c r="AH11" s="116"/>
      <c r="AI11" s="119">
        <f>SUM(AI6:AI10)</f>
        <v>10</v>
      </c>
      <c r="AJ11" s="120">
        <f>SUM(AJ6:AJ10)</f>
        <v>280</v>
      </c>
      <c r="AK11" s="120">
        <f>SUM(AK6:AK10)</f>
        <v>570</v>
      </c>
      <c r="AL11" s="116"/>
      <c r="AM11" s="119">
        <f>SUM(AM6:AM10)</f>
        <v>10</v>
      </c>
      <c r="AN11" s="120">
        <f>SUM(AN6:AN10)</f>
        <v>280</v>
      </c>
      <c r="AO11" s="120">
        <f>SUM(AO6:AO10)</f>
        <v>570</v>
      </c>
      <c r="AP11" s="93"/>
      <c r="AQ11" s="15"/>
    </row>
    <row r="12" spans="2:47" ht="16.100000000000001" customHeight="1" thickBot="1" x14ac:dyDescent="0.55000000000000004">
      <c r="B12" s="103"/>
      <c r="C12" s="30"/>
      <c r="D12" s="112" t="s">
        <v>45</v>
      </c>
      <c r="E12" s="114">
        <f>E10-E11</f>
        <v>10</v>
      </c>
      <c r="F12" s="30"/>
      <c r="G12" s="103"/>
      <c r="H12" s="45"/>
      <c r="I12" s="45"/>
      <c r="J12" s="45"/>
      <c r="K12" s="45"/>
      <c r="L12" s="48"/>
      <c r="M12" s="56"/>
      <c r="N12" s="49"/>
      <c r="O12" s="49"/>
      <c r="P12" s="51"/>
      <c r="Q12" s="155" t="s">
        <v>7</v>
      </c>
      <c r="R12" s="157">
        <f ca="1">OFFSET(料金表!I$1,MATCH($D$7,料金表!$E:$E,0)-1,0)</f>
        <v>1450</v>
      </c>
      <c r="S12" s="151" t="s">
        <v>34</v>
      </c>
      <c r="T12" s="152">
        <f>AN11</f>
        <v>280</v>
      </c>
      <c r="U12" s="151" t="s">
        <v>35</v>
      </c>
      <c r="V12" s="152">
        <f ca="1">SUM(R12,T12)</f>
        <v>1730</v>
      </c>
      <c r="W12" s="153" t="s">
        <v>53</v>
      </c>
      <c r="X12" s="154">
        <v>1.1000000000000001</v>
      </c>
      <c r="Y12" s="151" t="s">
        <v>35</v>
      </c>
      <c r="Z12" s="152">
        <f t="shared" ref="Z12:Z13" ca="1" si="4">ROUNDDOWN(V12*1.1,0)</f>
        <v>1903</v>
      </c>
      <c r="AA12" s="61"/>
      <c r="AB12" s="3"/>
      <c r="AD12" s="91"/>
      <c r="AE12" s="3"/>
      <c r="AH12" s="39"/>
      <c r="AI12" s="14"/>
      <c r="AJ12" s="15"/>
      <c r="AK12" s="15"/>
      <c r="AL12" s="39"/>
      <c r="AM12" s="14"/>
      <c r="AN12" s="15"/>
      <c r="AO12" s="15"/>
      <c r="AP12" s="94"/>
      <c r="AQ12" s="15"/>
    </row>
    <row r="13" spans="2:47" ht="16.100000000000001" customHeight="1" thickBot="1" x14ac:dyDescent="0.55000000000000004">
      <c r="B13" s="103"/>
      <c r="C13" s="30"/>
      <c r="D13" s="19"/>
      <c r="E13" s="82"/>
      <c r="F13" s="30"/>
      <c r="G13" s="103"/>
      <c r="H13" s="45"/>
      <c r="I13" s="45"/>
      <c r="J13" s="45"/>
      <c r="K13" s="45"/>
      <c r="L13" s="48"/>
      <c r="M13" s="55"/>
      <c r="N13" s="48"/>
      <c r="O13" s="48"/>
      <c r="P13" s="39"/>
      <c r="Q13" s="26" t="s">
        <v>33</v>
      </c>
      <c r="R13" s="158">
        <f ca="1">OFFSET(料金表!J$1,MATCH($D$7,料金表!$E:$E,0)-1,0)</f>
        <v>1310</v>
      </c>
      <c r="S13" s="37" t="s">
        <v>34</v>
      </c>
      <c r="T13" s="33">
        <f>AO11</f>
        <v>570</v>
      </c>
      <c r="U13" s="37" t="s">
        <v>35</v>
      </c>
      <c r="V13" s="33">
        <f ca="1">SUM(R13,T13)</f>
        <v>1880</v>
      </c>
      <c r="W13" s="53" t="s">
        <v>54</v>
      </c>
      <c r="X13" s="34">
        <v>1.1000000000000001</v>
      </c>
      <c r="Y13" s="37" t="s">
        <v>35</v>
      </c>
      <c r="Z13" s="33">
        <f t="shared" ca="1" si="4"/>
        <v>2068</v>
      </c>
      <c r="AA13" s="61"/>
      <c r="AB13" s="15"/>
      <c r="AD13" s="57"/>
      <c r="AE13" s="19"/>
      <c r="AF13" s="20"/>
      <c r="AG13" s="20"/>
      <c r="AH13" s="39"/>
      <c r="AI13" s="142"/>
      <c r="AJ13" s="21"/>
      <c r="AK13" s="21"/>
      <c r="AL13" s="39"/>
      <c r="AM13" s="142"/>
      <c r="AN13" s="21"/>
      <c r="AO13" s="21"/>
      <c r="AP13" s="136"/>
      <c r="AQ13" s="15"/>
    </row>
    <row r="14" spans="2:47" ht="16.100000000000001" customHeight="1" thickTop="1" thickBot="1" x14ac:dyDescent="0.55000000000000004">
      <c r="B14" s="103"/>
      <c r="C14" s="30"/>
      <c r="D14" s="108" t="s">
        <v>37</v>
      </c>
      <c r="E14" s="109"/>
      <c r="F14" s="30"/>
      <c r="G14" s="103"/>
      <c r="H14" s="45"/>
      <c r="I14" s="45"/>
      <c r="J14" s="45"/>
      <c r="K14" s="45"/>
      <c r="L14" s="48"/>
      <c r="M14" s="55"/>
      <c r="N14" s="48"/>
      <c r="O14" s="48"/>
      <c r="P14" s="39"/>
      <c r="Q14" s="59" t="s">
        <v>14</v>
      </c>
      <c r="R14" s="159">
        <f ca="1">R13-R12</f>
        <v>-140</v>
      </c>
      <c r="S14" s="38"/>
      <c r="T14" s="35">
        <f>T13-T12</f>
        <v>290</v>
      </c>
      <c r="U14" s="38"/>
      <c r="V14" s="35">
        <f ca="1">V13-V12</f>
        <v>150</v>
      </c>
      <c r="W14" s="54"/>
      <c r="X14" s="36"/>
      <c r="Y14" s="38"/>
      <c r="Z14" s="35">
        <f ca="1">Z13-Z12</f>
        <v>165</v>
      </c>
      <c r="AA14" s="61"/>
      <c r="AB14" s="15"/>
      <c r="AD14" s="57"/>
      <c r="AE14" s="132"/>
      <c r="AF14" s="133"/>
      <c r="AG14" s="133"/>
      <c r="AH14" s="58"/>
      <c r="AI14" s="134"/>
      <c r="AJ14" s="135"/>
      <c r="AK14" s="135"/>
      <c r="AL14" s="58"/>
      <c r="AM14" s="134"/>
      <c r="AN14" s="135"/>
      <c r="AO14" s="135"/>
      <c r="AP14" s="136"/>
      <c r="AQ14" s="15"/>
    </row>
    <row r="15" spans="2:47" ht="16.100000000000001" customHeight="1" thickTop="1" thickBot="1" x14ac:dyDescent="0.55000000000000004">
      <c r="B15" s="103"/>
      <c r="C15" s="30"/>
      <c r="D15" s="194" t="s">
        <v>16</v>
      </c>
      <c r="E15" s="195"/>
      <c r="F15" s="30"/>
      <c r="G15" s="103"/>
      <c r="H15" s="45"/>
      <c r="I15" s="45"/>
      <c r="J15" s="45"/>
      <c r="K15" s="45"/>
      <c r="L15" s="41"/>
      <c r="M15" s="100" t="s">
        <v>12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5"/>
      <c r="AD15" s="90"/>
      <c r="AE15" s="127" t="s">
        <v>12</v>
      </c>
      <c r="AF15" s="90"/>
      <c r="AG15" s="90"/>
      <c r="AH15" s="90"/>
      <c r="AI15" s="125"/>
      <c r="AJ15" s="126"/>
      <c r="AK15" s="126"/>
      <c r="AL15" s="90"/>
      <c r="AM15" s="125"/>
      <c r="AN15" s="90"/>
      <c r="AO15" s="90"/>
      <c r="AP15" s="90"/>
    </row>
    <row r="16" spans="2:47" ht="16.100000000000001" customHeight="1" x14ac:dyDescent="0.5">
      <c r="B16" s="103"/>
      <c r="C16" s="30"/>
      <c r="D16" s="20"/>
      <c r="E16" s="20"/>
      <c r="F16" s="30"/>
      <c r="G16" s="103"/>
      <c r="H16" s="45"/>
      <c r="I16" s="45"/>
      <c r="J16" s="45"/>
      <c r="K16" s="45"/>
      <c r="L16" s="41"/>
      <c r="M16" s="40"/>
      <c r="N16" s="41"/>
      <c r="O16" s="41"/>
      <c r="P16" s="41"/>
      <c r="Q16" s="40"/>
      <c r="R16" s="41"/>
      <c r="S16" s="41"/>
      <c r="T16" s="41"/>
      <c r="U16" s="41"/>
      <c r="V16" s="41"/>
      <c r="W16" s="41"/>
      <c r="X16" s="41"/>
      <c r="Y16" s="41"/>
      <c r="Z16" s="41"/>
      <c r="AA16" s="45"/>
      <c r="AD16" s="90"/>
      <c r="AE16" s="115" t="s">
        <v>62</v>
      </c>
      <c r="AF16" s="115"/>
      <c r="AG16" s="115"/>
      <c r="AH16" s="95"/>
      <c r="AI16" s="95"/>
      <c r="AJ16" s="96" t="s">
        <v>67</v>
      </c>
      <c r="AK16" s="95"/>
      <c r="AL16" s="95"/>
      <c r="AM16" s="95"/>
      <c r="AN16" s="96" t="s">
        <v>68</v>
      </c>
      <c r="AO16" s="95"/>
      <c r="AP16" s="90"/>
    </row>
    <row r="17" spans="2:47" ht="16.100000000000001" customHeight="1" x14ac:dyDescent="0.4">
      <c r="B17" s="103"/>
      <c r="C17" s="30"/>
      <c r="D17" s="20"/>
      <c r="E17" s="20"/>
      <c r="F17" s="30"/>
      <c r="G17" s="103"/>
      <c r="H17" s="45"/>
      <c r="I17" s="45"/>
      <c r="J17" s="45"/>
      <c r="K17" s="45"/>
      <c r="L17" s="41"/>
      <c r="M17" s="40"/>
      <c r="N17" s="41"/>
      <c r="O17" s="41"/>
      <c r="P17" s="39"/>
      <c r="Q17" s="183" t="s">
        <v>39</v>
      </c>
      <c r="R17" s="27"/>
      <c r="S17" s="27"/>
      <c r="T17" s="27"/>
      <c r="U17" s="39"/>
      <c r="V17" s="27"/>
      <c r="W17" s="27"/>
      <c r="X17" s="39"/>
      <c r="Y17" s="39"/>
      <c r="Z17" s="27"/>
      <c r="AA17" s="78"/>
      <c r="AB17" s="3"/>
      <c r="AD17" s="90"/>
      <c r="AE17" s="3" t="s">
        <v>32</v>
      </c>
      <c r="AF17" s="3" t="s">
        <v>7</v>
      </c>
      <c r="AG17" s="3" t="s">
        <v>33</v>
      </c>
      <c r="AH17" s="144"/>
      <c r="AI17" s="3" t="s">
        <v>38</v>
      </c>
      <c r="AJ17" s="3" t="s">
        <v>7</v>
      </c>
      <c r="AK17" s="3" t="s">
        <v>33</v>
      </c>
      <c r="AL17" s="144"/>
      <c r="AM17" s="3" t="s">
        <v>38</v>
      </c>
      <c r="AN17" s="3" t="s">
        <v>7</v>
      </c>
      <c r="AO17" s="3" t="s">
        <v>33</v>
      </c>
      <c r="AP17" s="25"/>
      <c r="AR17" s="3" t="s">
        <v>31</v>
      </c>
      <c r="AS17" s="12" t="s">
        <v>47</v>
      </c>
      <c r="AT17" s="1" t="s">
        <v>20</v>
      </c>
      <c r="AU17" s="1" t="s">
        <v>21</v>
      </c>
    </row>
    <row r="18" spans="2:47" ht="16.75" customHeight="1" x14ac:dyDescent="0.5">
      <c r="B18" s="103"/>
      <c r="C18" s="30"/>
      <c r="D18" s="20"/>
      <c r="E18" s="20"/>
      <c r="F18" s="30"/>
      <c r="G18" s="103"/>
      <c r="H18" s="45"/>
      <c r="I18" s="45"/>
      <c r="J18" s="45"/>
      <c r="K18" s="45"/>
      <c r="L18" s="41"/>
      <c r="M18" s="64" t="s">
        <v>60</v>
      </c>
      <c r="N18" s="64"/>
      <c r="O18" s="64"/>
      <c r="P18" s="50"/>
      <c r="Q18" s="160"/>
      <c r="R18" s="161" t="s">
        <v>13</v>
      </c>
      <c r="S18" s="162"/>
      <c r="T18" s="161" t="s">
        <v>19</v>
      </c>
      <c r="U18" s="163"/>
      <c r="V18" s="164" t="s">
        <v>55</v>
      </c>
      <c r="W18" s="162"/>
      <c r="X18" s="161" t="s">
        <v>50</v>
      </c>
      <c r="Y18" s="163"/>
      <c r="Z18" s="164" t="s">
        <v>56</v>
      </c>
      <c r="AA18" s="80"/>
      <c r="AB18" s="3"/>
      <c r="AD18" s="90"/>
      <c r="AE18" s="121" t="s">
        <v>25</v>
      </c>
      <c r="AF18" s="122">
        <f>SUMIFS(料金表!I:I,料金表!$A:$A,$AS18,料金表!$B:$B,$AT18,料金表!$C:$C,$AU18,料金表!$F:$F,$AR18)</f>
        <v>10</v>
      </c>
      <c r="AG18" s="148" t="s">
        <v>46</v>
      </c>
      <c r="AH18" s="145"/>
      <c r="AI18" s="123">
        <f>IF(E$11&gt;10,10,E$11)</f>
        <v>10</v>
      </c>
      <c r="AJ18" s="122">
        <f>AI18*$AF18</f>
        <v>100</v>
      </c>
      <c r="AK18" s="148" t="s">
        <v>46</v>
      </c>
      <c r="AL18" s="145"/>
      <c r="AM18" s="123">
        <f>IF(E$12&gt;10,10,E$12)</f>
        <v>10</v>
      </c>
      <c r="AN18" s="122">
        <f>AM18*$AF18</f>
        <v>100</v>
      </c>
      <c r="AO18" s="148" t="s">
        <v>46</v>
      </c>
      <c r="AP18" s="128"/>
      <c r="AQ18" s="3"/>
      <c r="AR18" s="12">
        <v>1</v>
      </c>
      <c r="AS18" s="12" t="s">
        <v>12</v>
      </c>
      <c r="AT18" s="12" t="str">
        <f>D15</f>
        <v>公共下水道</v>
      </c>
      <c r="AU18" s="12" t="s">
        <v>19</v>
      </c>
    </row>
    <row r="19" spans="2:47" ht="16.100000000000001" customHeight="1" x14ac:dyDescent="0.5">
      <c r="B19" s="103"/>
      <c r="C19" s="30"/>
      <c r="D19" s="20"/>
      <c r="E19" s="20"/>
      <c r="F19" s="30"/>
      <c r="G19" s="103"/>
      <c r="H19" s="45"/>
      <c r="I19" s="45"/>
      <c r="J19" s="45"/>
      <c r="K19" s="45"/>
      <c r="L19" s="41"/>
      <c r="M19" s="101" t="s">
        <v>7</v>
      </c>
      <c r="N19" s="75">
        <f>SUM(Z19,Z22)</f>
        <v>1914</v>
      </c>
      <c r="O19" s="65"/>
      <c r="P19" s="28"/>
      <c r="Q19" s="165"/>
      <c r="R19" s="166">
        <f>SUMIFS(料金表!I:I,料金表!$B:$B,D$15,料金表!C:C,R18)</f>
        <v>770</v>
      </c>
      <c r="S19" s="167" t="s">
        <v>34</v>
      </c>
      <c r="T19" s="166">
        <f>AJ23</f>
        <v>100</v>
      </c>
      <c r="U19" s="167" t="s">
        <v>35</v>
      </c>
      <c r="V19" s="166">
        <f>SUM(R19,T19)</f>
        <v>870</v>
      </c>
      <c r="W19" s="168" t="s">
        <v>54</v>
      </c>
      <c r="X19" s="169">
        <v>1.1000000000000001</v>
      </c>
      <c r="Y19" s="167" t="s">
        <v>35</v>
      </c>
      <c r="Z19" s="166">
        <f t="shared" ref="Z19" si="5">ROUNDDOWN(V19*1.1,0)</f>
        <v>957</v>
      </c>
      <c r="AA19" s="61"/>
      <c r="AB19" s="15"/>
      <c r="AD19" s="90"/>
      <c r="AE19" s="83" t="s">
        <v>26</v>
      </c>
      <c r="AF19" s="84">
        <f>SUMIFS(料金表!I:I,料金表!$A:$A,$AS19,料金表!$B:$B,$AT19,料金表!$C:$C,$AU19,料金表!$F:$F,$AR19)</f>
        <v>120</v>
      </c>
      <c r="AG19" s="149" t="s">
        <v>46</v>
      </c>
      <c r="AH19" s="145"/>
      <c r="AI19" s="85">
        <f>IF(E$11&gt;20,10,E$11-SUM(AI$18:AI18))</f>
        <v>0</v>
      </c>
      <c r="AJ19" s="84">
        <f t="shared" ref="AJ19:AJ22" si="6">AI19*$AF19</f>
        <v>0</v>
      </c>
      <c r="AK19" s="149" t="s">
        <v>46</v>
      </c>
      <c r="AL19" s="145"/>
      <c r="AM19" s="85">
        <f>IF(E$12&gt;20,10,E$12-SUM(AM$18:AM18))</f>
        <v>0</v>
      </c>
      <c r="AN19" s="84">
        <f t="shared" ref="AN19:AN22" si="7">AM19*$AF19</f>
        <v>0</v>
      </c>
      <c r="AO19" s="149" t="s">
        <v>46</v>
      </c>
      <c r="AP19" s="128"/>
      <c r="AQ19" s="3"/>
      <c r="AR19" s="12">
        <v>2</v>
      </c>
      <c r="AS19" s="12" t="s">
        <v>12</v>
      </c>
      <c r="AT19" s="12" t="str">
        <f>AT18</f>
        <v>公共下水道</v>
      </c>
      <c r="AU19" s="12" t="s">
        <v>19</v>
      </c>
    </row>
    <row r="20" spans="2:47" ht="16.100000000000001" customHeight="1" x14ac:dyDescent="0.5">
      <c r="B20" s="103"/>
      <c r="C20" s="30"/>
      <c r="D20" s="20"/>
      <c r="E20" s="20"/>
      <c r="F20" s="30"/>
      <c r="G20" s="103"/>
      <c r="H20" s="45"/>
      <c r="I20" s="45"/>
      <c r="J20" s="45"/>
      <c r="K20" s="45"/>
      <c r="L20" s="41"/>
      <c r="M20" s="102" t="s">
        <v>57</v>
      </c>
      <c r="N20" s="76"/>
      <c r="O20" s="76"/>
      <c r="P20" s="74"/>
      <c r="Q20" s="183" t="s">
        <v>40</v>
      </c>
      <c r="R20" s="27"/>
      <c r="S20" s="27"/>
      <c r="T20" s="27"/>
      <c r="U20" s="39"/>
      <c r="V20" s="27"/>
      <c r="W20" s="27"/>
      <c r="X20" s="39"/>
      <c r="Y20" s="39"/>
      <c r="Z20" s="27"/>
      <c r="AA20" s="78"/>
      <c r="AD20" s="90"/>
      <c r="AE20" s="83" t="s">
        <v>27</v>
      </c>
      <c r="AF20" s="84">
        <f>SUMIFS(料金表!I:I,料金表!$A:$A,$AS20,料金表!$B:$B,$AT20,料金表!$C:$C,$AU20,料金表!$F:$F,$AR20)</f>
        <v>190</v>
      </c>
      <c r="AG20" s="149" t="s">
        <v>46</v>
      </c>
      <c r="AH20" s="145"/>
      <c r="AI20" s="85">
        <f>IF(E$11&gt;50,30,E$11-SUM(AI$18:AI19))</f>
        <v>0</v>
      </c>
      <c r="AJ20" s="84">
        <f t="shared" si="6"/>
        <v>0</v>
      </c>
      <c r="AK20" s="149" t="s">
        <v>46</v>
      </c>
      <c r="AL20" s="145"/>
      <c r="AM20" s="85">
        <f>IF(E$12&gt;50,30,E$12-SUM(AM$18:AM19))</f>
        <v>0</v>
      </c>
      <c r="AN20" s="84">
        <f t="shared" si="7"/>
        <v>0</v>
      </c>
      <c r="AO20" s="149" t="s">
        <v>46</v>
      </c>
      <c r="AP20" s="128"/>
      <c r="AQ20" s="16"/>
      <c r="AR20" s="12">
        <v>3</v>
      </c>
      <c r="AS20" s="12" t="s">
        <v>12</v>
      </c>
      <c r="AT20" s="12" t="str">
        <f t="shared" ref="AT20:AT22" si="8">AT19</f>
        <v>公共下水道</v>
      </c>
      <c r="AU20" s="12" t="s">
        <v>19</v>
      </c>
    </row>
    <row r="21" spans="2:47" ht="16.75" customHeight="1" x14ac:dyDescent="0.5">
      <c r="B21" s="103"/>
      <c r="C21" s="30"/>
      <c r="D21" s="20"/>
      <c r="E21" s="20"/>
      <c r="F21" s="30"/>
      <c r="G21" s="103"/>
      <c r="H21" s="45"/>
      <c r="I21" s="45"/>
      <c r="J21" s="45"/>
      <c r="K21" s="45"/>
      <c r="L21" s="41"/>
      <c r="M21" s="100"/>
      <c r="N21" s="76"/>
      <c r="O21" s="76"/>
      <c r="P21" s="39"/>
      <c r="Q21" s="160"/>
      <c r="R21" s="161" t="s">
        <v>13</v>
      </c>
      <c r="S21" s="162"/>
      <c r="T21" s="161" t="s">
        <v>19</v>
      </c>
      <c r="U21" s="163"/>
      <c r="V21" s="164" t="s">
        <v>55</v>
      </c>
      <c r="W21" s="162"/>
      <c r="X21" s="161" t="s">
        <v>50</v>
      </c>
      <c r="Y21" s="163"/>
      <c r="Z21" s="164" t="s">
        <v>56</v>
      </c>
      <c r="AA21" s="80"/>
      <c r="AB21" s="3"/>
      <c r="AD21" s="90"/>
      <c r="AE21" s="83" t="s">
        <v>28</v>
      </c>
      <c r="AF21" s="84">
        <f>SUMIFS(料金表!I:I,料金表!$A:$A,$AS21,料金表!$B:$B,$AT21,料金表!$C:$C,$AU21,料金表!$F:$F,$AR21)</f>
        <v>270</v>
      </c>
      <c r="AG21" s="149" t="s">
        <v>46</v>
      </c>
      <c r="AH21" s="145"/>
      <c r="AI21" s="85">
        <f>IF(E$11&gt;100,50,E$11-SUM(AI$18:AI20))</f>
        <v>0</v>
      </c>
      <c r="AJ21" s="84">
        <f t="shared" si="6"/>
        <v>0</v>
      </c>
      <c r="AK21" s="149" t="s">
        <v>46</v>
      </c>
      <c r="AL21" s="145"/>
      <c r="AM21" s="85">
        <f>IF(E$12&gt;100,50,E$12-SUM(AM$18:AM20))</f>
        <v>0</v>
      </c>
      <c r="AN21" s="84">
        <f t="shared" si="7"/>
        <v>0</v>
      </c>
      <c r="AO21" s="149" t="s">
        <v>46</v>
      </c>
      <c r="AP21" s="128"/>
      <c r="AQ21" s="16"/>
      <c r="AR21" s="12">
        <v>4</v>
      </c>
      <c r="AS21" s="12" t="s">
        <v>12</v>
      </c>
      <c r="AT21" s="12" t="str">
        <f t="shared" si="8"/>
        <v>公共下水道</v>
      </c>
      <c r="AU21" s="12" t="s">
        <v>19</v>
      </c>
    </row>
    <row r="22" spans="2:47" ht="16.100000000000001" customHeight="1" thickBot="1" x14ac:dyDescent="0.55000000000000004">
      <c r="B22" s="103"/>
      <c r="C22" s="30"/>
      <c r="D22" s="20"/>
      <c r="E22" s="20"/>
      <c r="F22" s="30"/>
      <c r="G22" s="103"/>
      <c r="H22" s="47"/>
      <c r="I22" s="47"/>
      <c r="J22" s="47"/>
      <c r="K22" s="47"/>
      <c r="L22" s="41"/>
      <c r="M22" s="41"/>
      <c r="N22" s="41"/>
      <c r="O22" s="41"/>
      <c r="P22" s="39"/>
      <c r="Q22" s="165"/>
      <c r="R22" s="166">
        <f>SUMIFS(料金表!I:I,料金表!$B:$B,D$15,料金表!C:C,R21)</f>
        <v>770</v>
      </c>
      <c r="S22" s="167" t="s">
        <v>34</v>
      </c>
      <c r="T22" s="166">
        <f>AN23</f>
        <v>100</v>
      </c>
      <c r="U22" s="167" t="s">
        <v>35</v>
      </c>
      <c r="V22" s="166">
        <f>SUM(R22,T22)</f>
        <v>870</v>
      </c>
      <c r="W22" s="168" t="s">
        <v>54</v>
      </c>
      <c r="X22" s="169">
        <v>1.1000000000000001</v>
      </c>
      <c r="Y22" s="167" t="s">
        <v>35</v>
      </c>
      <c r="Z22" s="166">
        <f t="shared" ref="Z22" si="9">ROUNDDOWN(V22*1.1,0)</f>
        <v>957</v>
      </c>
      <c r="AA22" s="61"/>
      <c r="AB22" s="3"/>
      <c r="AD22" s="41"/>
      <c r="AE22" s="129" t="s">
        <v>29</v>
      </c>
      <c r="AF22" s="130">
        <f>SUMIFS(料金表!I:I,料金表!$A:$A,$AS22,料金表!$B:$B,$AT22,料金表!$C:$C,$AU22,料金表!$F:$F,$AR22)</f>
        <v>300</v>
      </c>
      <c r="AG22" s="150" t="s">
        <v>46</v>
      </c>
      <c r="AH22" s="146"/>
      <c r="AI22" s="131">
        <f>IF(E$11&gt;100,E$11-SUM(AI$18:AI21),0)</f>
        <v>0</v>
      </c>
      <c r="AJ22" s="130">
        <f t="shared" si="6"/>
        <v>0</v>
      </c>
      <c r="AK22" s="150" t="s">
        <v>46</v>
      </c>
      <c r="AL22" s="146"/>
      <c r="AM22" s="131">
        <f>IF(E$12&gt;100,E$12-SUM(AM$18:AM21),0)</f>
        <v>0</v>
      </c>
      <c r="AN22" s="130">
        <f t="shared" si="7"/>
        <v>0</v>
      </c>
      <c r="AO22" s="150" t="s">
        <v>46</v>
      </c>
      <c r="AP22" s="137"/>
      <c r="AQ22" s="16"/>
      <c r="AR22" s="12">
        <v>5</v>
      </c>
      <c r="AS22" s="12" t="s">
        <v>12</v>
      </c>
      <c r="AT22" s="12" t="str">
        <f t="shared" si="8"/>
        <v>公共下水道</v>
      </c>
      <c r="AU22" s="12" t="s">
        <v>19</v>
      </c>
    </row>
    <row r="23" spans="2:47" ht="16.100000000000001" customHeight="1" thickTop="1" thickBot="1" x14ac:dyDescent="0.55000000000000004">
      <c r="B23" s="103"/>
      <c r="C23" s="30"/>
      <c r="D23" s="20"/>
      <c r="E23" s="20"/>
      <c r="F23" s="30"/>
      <c r="G23" s="103"/>
      <c r="H23" s="45"/>
      <c r="I23" s="45"/>
      <c r="J23" s="45"/>
      <c r="K23" s="45"/>
      <c r="L23" s="41"/>
      <c r="M23" s="41"/>
      <c r="N23" s="41"/>
      <c r="O23" s="41"/>
      <c r="P23" s="39"/>
      <c r="Q23" s="20"/>
      <c r="R23" s="21"/>
      <c r="S23" s="27"/>
      <c r="T23" s="21"/>
      <c r="U23" s="27"/>
      <c r="V23" s="21"/>
      <c r="W23" s="89"/>
      <c r="X23" s="19"/>
      <c r="Y23" s="27"/>
      <c r="Z23" s="21"/>
      <c r="AA23" s="61"/>
      <c r="AB23" s="15"/>
      <c r="AD23" s="138"/>
      <c r="AE23" s="22" t="s">
        <v>30</v>
      </c>
      <c r="AF23" s="24"/>
      <c r="AG23" s="24"/>
      <c r="AH23" s="139"/>
      <c r="AI23" s="140">
        <f>SUM(AI18:AI22)</f>
        <v>10</v>
      </c>
      <c r="AJ23" s="23">
        <f>SUM(AJ18:AJ22)</f>
        <v>100</v>
      </c>
      <c r="AK23" s="23"/>
      <c r="AL23" s="139"/>
      <c r="AM23" s="140">
        <f>SUM(AM18:AM22)</f>
        <v>10</v>
      </c>
      <c r="AN23" s="23">
        <f>SUM(AN18:AN22)</f>
        <v>100</v>
      </c>
      <c r="AO23" s="23"/>
      <c r="AP23" s="141"/>
      <c r="AQ23" s="16"/>
    </row>
    <row r="24" spans="2:47" ht="6.1" customHeight="1" thickTop="1" x14ac:dyDescent="0.5">
      <c r="B24" s="103"/>
      <c r="C24" s="103"/>
      <c r="D24" s="103"/>
      <c r="E24" s="103"/>
      <c r="F24" s="103"/>
      <c r="G24" s="103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81"/>
      <c r="S24" s="42"/>
      <c r="T24" s="81"/>
      <c r="U24" s="42"/>
      <c r="V24" s="81"/>
      <c r="W24" s="81"/>
      <c r="X24" s="42"/>
      <c r="Y24" s="42"/>
      <c r="Z24" s="42"/>
      <c r="AA24" s="42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16"/>
    </row>
    <row r="25" spans="2:47" x14ac:dyDescent="0.5">
      <c r="AQ25" s="15"/>
    </row>
  </sheetData>
  <sheetProtection algorithmName="SHA-512" hashValue="4uMSYb/WatQK0E6QyIkjE4rnb42I/icMQmyCem6n7+ChwM/khT4jkb108grgxqy4JgpxF3MHN5us6YyfWQkt4w==" saltValue="TZy2IcjRKr8TAAGU/kGFrQ==" spinCount="100000" sheet="1" objects="1" scenarios="1"/>
  <mergeCells count="4">
    <mergeCell ref="D3:E3"/>
    <mergeCell ref="M6:N6"/>
    <mergeCell ref="D7:E7"/>
    <mergeCell ref="D15:E15"/>
  </mergeCells>
  <phoneticPr fontId="2"/>
  <dataValidations count="1">
    <dataValidation type="list" allowBlank="1" showInputMessage="1" showErrorMessage="1" sqref="D15" xr:uid="{85A43B73-638D-4471-87E1-B60A0BF88A1B}">
      <formula1>"公共下水道,地域下水道"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3338D5-BF68-4ABC-AD5C-4B8967749337}">
          <x14:formula1>
            <xm:f>料金表!$E$3:$E$12</xm:f>
          </x14:formula1>
          <xm:sqref>D7:E7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料金表</vt:lpstr>
      <vt:lpstr>計算ツール</vt:lpstr>
      <vt:lpstr>計算ツールの使い方</vt:lpstr>
      <vt:lpstr>計算ツール!Print_Area</vt:lpstr>
      <vt:lpstr>計算ツールの使い方!Print_Area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滝川　拓人</dc:creator>
  <cp:lastModifiedBy>滝川　拓人</cp:lastModifiedBy>
  <cp:lastPrinted>2025-11-14T03:54:52Z</cp:lastPrinted>
  <dcterms:created xsi:type="dcterms:W3CDTF">2015-06-05T18:17:20Z</dcterms:created>
  <dcterms:modified xsi:type="dcterms:W3CDTF">2025-12-19T07:13:22Z</dcterms:modified>
</cp:coreProperties>
</file>